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TAKE-OFF'!$A$2:$P$84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Q12" i="1" l="1"/>
  <c r="A24" i="1"/>
  <c r="A27" i="1" s="1"/>
  <c r="A25" i="1"/>
  <c r="A26" i="1"/>
  <c r="A28" i="1"/>
  <c r="A31" i="1"/>
  <c r="A35" i="1"/>
  <c r="A39" i="1"/>
  <c r="A40" i="1"/>
  <c r="A44" i="1"/>
  <c r="A48" i="1"/>
  <c r="A52" i="1"/>
  <c r="A57" i="1"/>
  <c r="A61" i="1"/>
  <c r="G63" i="1"/>
  <c r="O63" i="1" s="1"/>
  <c r="O62" i="1"/>
  <c r="M62" i="1"/>
  <c r="G62" i="1"/>
  <c r="J62" i="1" s="1"/>
  <c r="K62" i="1" s="1"/>
  <c r="O60" i="1"/>
  <c r="M60" i="1"/>
  <c r="G60" i="1"/>
  <c r="J60" i="1" s="1"/>
  <c r="K60" i="1" s="1"/>
  <c r="D59" i="1"/>
  <c r="G59" i="1" s="1"/>
  <c r="O58" i="1"/>
  <c r="M58" i="1"/>
  <c r="J58" i="1"/>
  <c r="K58" i="1" s="1"/>
  <c r="P58" i="1" s="1"/>
  <c r="G58" i="1"/>
  <c r="O56" i="1"/>
  <c r="G56" i="1"/>
  <c r="J56" i="1" s="1"/>
  <c r="K56" i="1" s="1"/>
  <c r="G55" i="1"/>
  <c r="J55" i="1" s="1"/>
  <c r="K55" i="1" s="1"/>
  <c r="G54" i="1"/>
  <c r="O54" i="1" s="1"/>
  <c r="G53" i="1"/>
  <c r="O53" i="1" s="1"/>
  <c r="G51" i="1"/>
  <c r="O51" i="1" s="1"/>
  <c r="D50" i="1"/>
  <c r="G50" i="1" s="1"/>
  <c r="G49" i="1"/>
  <c r="O49" i="1" s="1"/>
  <c r="G47" i="1"/>
  <c r="M47" i="1" s="1"/>
  <c r="D46" i="1"/>
  <c r="G46" i="1" s="1"/>
  <c r="O45" i="1"/>
  <c r="G45" i="1"/>
  <c r="M45" i="1" s="1"/>
  <c r="O43" i="1"/>
  <c r="M43" i="1"/>
  <c r="G43" i="1"/>
  <c r="J43" i="1" s="1"/>
  <c r="K43" i="1" s="1"/>
  <c r="P43" i="1" s="1"/>
  <c r="D42" i="1"/>
  <c r="G42" i="1" s="1"/>
  <c r="G41" i="1"/>
  <c r="J41" i="1" s="1"/>
  <c r="K41" i="1" s="1"/>
  <c r="G38" i="1"/>
  <c r="J38" i="1" s="1"/>
  <c r="K38" i="1" s="1"/>
  <c r="D37" i="1"/>
  <c r="G37" i="1" s="1"/>
  <c r="G36" i="1"/>
  <c r="J36" i="1" s="1"/>
  <c r="K36" i="1" s="1"/>
  <c r="G34" i="1"/>
  <c r="O34" i="1" s="1"/>
  <c r="D33" i="1"/>
  <c r="M32" i="1"/>
  <c r="J32" i="1"/>
  <c r="K32" i="1" s="1"/>
  <c r="G32" i="1"/>
  <c r="O32" i="1" s="1"/>
  <c r="G30" i="1"/>
  <c r="O30" i="1" s="1"/>
  <c r="G29" i="1"/>
  <c r="O29" i="1" s="1"/>
  <c r="G27" i="1"/>
  <c r="O27" i="1" s="1"/>
  <c r="G26" i="1"/>
  <c r="M26" i="1" s="1"/>
  <c r="G25" i="1"/>
  <c r="O25" i="1" s="1"/>
  <c r="G24" i="1"/>
  <c r="J24" i="1" s="1"/>
  <c r="K24" i="1" s="1"/>
  <c r="G23" i="1"/>
  <c r="J23" i="1" s="1"/>
  <c r="K23" i="1" s="1"/>
  <c r="A29" i="1" l="1"/>
  <c r="P23" i="1"/>
  <c r="P55" i="1"/>
  <c r="P36" i="1"/>
  <c r="J42" i="1"/>
  <c r="K42" i="1" s="1"/>
  <c r="O42" i="1"/>
  <c r="J25" i="1"/>
  <c r="K25" i="1" s="1"/>
  <c r="M25" i="1"/>
  <c r="M30" i="1"/>
  <c r="O41" i="1"/>
  <c r="M36" i="1"/>
  <c r="M49" i="1"/>
  <c r="M55" i="1"/>
  <c r="M23" i="1"/>
  <c r="O26" i="1"/>
  <c r="O36" i="1"/>
  <c r="J45" i="1"/>
  <c r="K45" i="1" s="1"/>
  <c r="P45" i="1" s="1"/>
  <c r="O55" i="1"/>
  <c r="P60" i="1"/>
  <c r="J30" i="1"/>
  <c r="K30" i="1" s="1"/>
  <c r="P30" i="1" s="1"/>
  <c r="O23" i="1"/>
  <c r="O47" i="1"/>
  <c r="M27" i="1"/>
  <c r="O24" i="1"/>
  <c r="O38" i="1"/>
  <c r="J53" i="1"/>
  <c r="K53" i="1" s="1"/>
  <c r="P62" i="1"/>
  <c r="M37" i="1"/>
  <c r="P37" i="1" s="1"/>
  <c r="O37" i="1"/>
  <c r="J37" i="1"/>
  <c r="K37" i="1" s="1"/>
  <c r="O50" i="1"/>
  <c r="M50" i="1"/>
  <c r="J50" i="1"/>
  <c r="K50" i="1" s="1"/>
  <c r="P50" i="1" s="1"/>
  <c r="P32" i="1"/>
  <c r="J59" i="1"/>
  <c r="K59" i="1" s="1"/>
  <c r="O59" i="1"/>
  <c r="M59" i="1"/>
  <c r="J46" i="1"/>
  <c r="K46" i="1" s="1"/>
  <c r="M46" i="1"/>
  <c r="O46" i="1"/>
  <c r="P25" i="1"/>
  <c r="P41" i="1"/>
  <c r="M24" i="1"/>
  <c r="G33" i="1"/>
  <c r="J34" i="1"/>
  <c r="K34" i="1" s="1"/>
  <c r="M38" i="1"/>
  <c r="M41" i="1"/>
  <c r="M42" i="1"/>
  <c r="P42" i="1" s="1"/>
  <c r="J54" i="1"/>
  <c r="K54" i="1" s="1"/>
  <c r="M56" i="1"/>
  <c r="P56" i="1" s="1"/>
  <c r="J29" i="1"/>
  <c r="K29" i="1" s="1"/>
  <c r="M34" i="1"/>
  <c r="J51" i="1"/>
  <c r="K51" i="1" s="1"/>
  <c r="M54" i="1"/>
  <c r="J63" i="1"/>
  <c r="K63" i="1" s="1"/>
  <c r="J27" i="1"/>
  <c r="K27" i="1" s="1"/>
  <c r="P27" i="1" s="1"/>
  <c r="J49" i="1"/>
  <c r="K49" i="1" s="1"/>
  <c r="M53" i="1"/>
  <c r="P53" i="1" s="1"/>
  <c r="J26" i="1"/>
  <c r="K26" i="1" s="1"/>
  <c r="M29" i="1"/>
  <c r="J47" i="1"/>
  <c r="K47" i="1" s="1"/>
  <c r="P47" i="1" s="1"/>
  <c r="M51" i="1"/>
  <c r="M63" i="1"/>
  <c r="G18" i="1"/>
  <c r="O18" i="1" s="1"/>
  <c r="G17" i="1"/>
  <c r="O17" i="1" s="1"/>
  <c r="G16" i="1"/>
  <c r="O16" i="1" s="1"/>
  <c r="G15" i="1"/>
  <c r="O15" i="1" s="1"/>
  <c r="G14" i="1"/>
  <c r="O14" i="1" s="1"/>
  <c r="G13" i="1"/>
  <c r="O13" i="1" s="1"/>
  <c r="A13" i="1"/>
  <c r="G12" i="1"/>
  <c r="O12" i="1" s="1"/>
  <c r="A30" i="1" l="1"/>
  <c r="P49" i="1"/>
  <c r="P38" i="1"/>
  <c r="A14" i="1"/>
  <c r="P46" i="1"/>
  <c r="P63" i="1"/>
  <c r="P26" i="1"/>
  <c r="P29" i="1"/>
  <c r="P24" i="1"/>
  <c r="P34" i="1"/>
  <c r="P51" i="1"/>
  <c r="O33" i="1"/>
  <c r="M33" i="1"/>
  <c r="J33" i="1"/>
  <c r="K33" i="1" s="1"/>
  <c r="P59" i="1"/>
  <c r="P54" i="1"/>
  <c r="M12" i="1"/>
  <c r="M13" i="1"/>
  <c r="M14" i="1"/>
  <c r="M15" i="1"/>
  <c r="M16" i="1"/>
  <c r="M17" i="1"/>
  <c r="M18" i="1"/>
  <c r="A32" i="1" l="1"/>
  <c r="A15" i="1"/>
  <c r="A16" i="1" s="1"/>
  <c r="A17" i="1" s="1"/>
  <c r="A18" i="1" s="1"/>
  <c r="P33" i="1"/>
  <c r="A34" i="1" l="1"/>
  <c r="A33" i="1"/>
  <c r="P64" i="1"/>
  <c r="A19" i="1"/>
  <c r="A20" i="1"/>
  <c r="A21" i="1"/>
  <c r="A22" i="1"/>
  <c r="A64" i="1"/>
  <c r="A41" i="1" l="1"/>
  <c r="A42" i="1" s="1"/>
  <c r="A43" i="1" s="1"/>
  <c r="A45" i="1" s="1"/>
  <c r="A36" i="1"/>
  <c r="A37" i="1"/>
  <c r="A38" i="1" s="1"/>
  <c r="A23" i="1"/>
  <c r="C12" i="3"/>
  <c r="D12" i="3" s="1"/>
  <c r="H14" i="1"/>
  <c r="J14" i="1" s="1"/>
  <c r="K14" i="1" s="1"/>
  <c r="P14" i="1" s="1"/>
  <c r="H18" i="1"/>
  <c r="J18" i="1" s="1"/>
  <c r="K18" i="1" s="1"/>
  <c r="P18" i="1" s="1"/>
  <c r="H17" i="1"/>
  <c r="J17" i="1" s="1"/>
  <c r="K17" i="1" s="1"/>
  <c r="P17" i="1" s="1"/>
  <c r="H13" i="1"/>
  <c r="J13" i="1" s="1"/>
  <c r="K13" i="1" s="1"/>
  <c r="P13" i="1" s="1"/>
  <c r="H15" i="1"/>
  <c r="J15" i="1" s="1"/>
  <c r="K15" i="1" s="1"/>
  <c r="P15" i="1" s="1"/>
  <c r="H16" i="1"/>
  <c r="J16" i="1" s="1"/>
  <c r="K16" i="1" s="1"/>
  <c r="P16" i="1" s="1"/>
  <c r="H12" i="1"/>
  <c r="J12" i="1" s="1"/>
  <c r="K12" i="1" s="1"/>
  <c r="P12" i="1" s="1"/>
  <c r="A46" i="1" l="1"/>
  <c r="A47" i="1"/>
  <c r="A49" i="1" s="1"/>
  <c r="A50" i="1" s="1"/>
  <c r="A51" i="1" s="1"/>
  <c r="A53" i="1" s="1"/>
  <c r="A54" i="1" s="1"/>
  <c r="A55" i="1" s="1"/>
  <c r="A56" i="1" s="1"/>
  <c r="A58" i="1" s="1"/>
  <c r="A59" i="1" s="1"/>
  <c r="A60" i="1" s="1"/>
  <c r="A62" i="1" s="1"/>
  <c r="A63" i="1" s="1"/>
  <c r="P19" i="1"/>
  <c r="P66" i="1" s="1"/>
  <c r="C11" i="3" l="1"/>
  <c r="C13" i="3" s="1"/>
  <c r="P68" i="1"/>
  <c r="P67" i="1"/>
  <c r="P69" i="1"/>
  <c r="D11" i="3" l="1"/>
  <c r="D13" i="3" s="1"/>
  <c r="D16" i="3" s="1"/>
  <c r="P70" i="1"/>
  <c r="C15" i="3"/>
  <c r="C16" i="3"/>
  <c r="C17" i="3"/>
  <c r="D17" i="3" l="1"/>
  <c r="D15" i="3"/>
  <c r="C18" i="3"/>
  <c r="D18" i="3" l="1"/>
</calcChain>
</file>

<file path=xl/sharedStrings.xml><?xml version="1.0" encoding="utf-8"?>
<sst xmlns="http://schemas.openxmlformats.org/spreadsheetml/2006/main" count="142" uniqueCount="90">
  <si>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</si>
  <si>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</si>
  <si>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</si>
  <si>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</si>
  <si>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</si>
  <si>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</si>
  <si>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</si>
  <si>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</si>
  <si>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</si>
  <si>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</si>
  <si>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</si>
  <si>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</si>
  <si>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</si>
  <si>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</si>
  <si>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</si>
  <si>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</si>
  <si>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</si>
  <si>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</si>
  <si>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</si>
  <si>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</si>
  <si>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</si>
  <si>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</si>
  <si>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</si>
  <si>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</si>
  <si>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</si>
  <si>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</si>
  <si>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</si>
  <si>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</si>
  <si>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</si>
  <si>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</si>
  <si>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</si>
  <si>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</si>
  <si>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</si>
  <si>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</si>
  <si>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</si>
  <si>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</si>
  <si>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</si>
  <si>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</si>
  <si>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</si>
  <si>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</si>
  <si>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</si>
  <si>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</si>
  <si>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</si>
  <si>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</si>
  <si>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</si>
  <si>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</si>
  <si>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</si>
  <si>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</si>
  <si>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</si>
  <si>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</si>
  <si>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</si>
  <si>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</si>
  <si>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Building GSF</t>
  </si>
  <si>
    <t>TOTAL DIV. COST (PER SF)</t>
  </si>
  <si>
    <t>EA</t>
  </si>
  <si>
    <t>LF</t>
  </si>
  <si>
    <t>01. GENERAL REQUIREMENTS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</si>
  <si>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</si>
  <si>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33. UTILITIES</t>
  </si>
  <si>
    <t>Manhole / Inlet Grate</t>
  </si>
  <si>
    <t>C-10</t>
  </si>
  <si>
    <t>Fire Hydrant</t>
  </si>
  <si>
    <t>18'' ADS In-Line Drain</t>
  </si>
  <si>
    <t>Type C Inlet</t>
  </si>
  <si>
    <t>M-4 Manhole (4' Dia)</t>
  </si>
  <si>
    <t>Sanitary Manhole</t>
  </si>
  <si>
    <t>Conduits</t>
  </si>
  <si>
    <t>4'' PVC Electrical Conduit</t>
  </si>
  <si>
    <t>4'' PVC Telecom Conduit</t>
  </si>
  <si>
    <t>Storm Pipes</t>
  </si>
  <si>
    <t>6'' PVC Roof Drain</t>
  </si>
  <si>
    <t>Excavation</t>
  </si>
  <si>
    <t>CY</t>
  </si>
  <si>
    <t>Backfill</t>
  </si>
  <si>
    <t>15'' HDPE Pipe</t>
  </si>
  <si>
    <t>Sanitary Pipes</t>
  </si>
  <si>
    <t>8'' PVC San Main Line</t>
  </si>
  <si>
    <t>8'' PVC Pipe</t>
  </si>
  <si>
    <t xml:space="preserve">6'' PVC C-900 San. Lateral </t>
  </si>
  <si>
    <t>Fittings</t>
  </si>
  <si>
    <t>6'' San Sewer Connection</t>
  </si>
  <si>
    <t>4'' PVC Telecom Connection</t>
  </si>
  <si>
    <t>15''x6'' Tee</t>
  </si>
  <si>
    <t>6'' PVC Roof Drain Connection</t>
  </si>
  <si>
    <t>Exfiltration Trench</t>
  </si>
  <si>
    <t>Catch Basin / Cleanout</t>
  </si>
  <si>
    <t>Catch Basin</t>
  </si>
  <si>
    <t>6'' PVC Clean Out</t>
  </si>
  <si>
    <t>Utilities</t>
  </si>
  <si>
    <t>UTILITIES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</si>
</sst>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  <numFmt numFmtId="169" formatCode="0.000"/>
  </numFmts>
  <fonts count="27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b/>
      <sz val="11"/>
      <color rgb="FF067BC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  <fill>
      <patternFill patternType="solid">
        <fgColor rgb="FF84BCDA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20">
      <alignment horizontal="left" vertical="center" wrapText="1"/>
    </xf>
    <xf numFmtId="39" fontId="4" fillId="0" borderId="20">
      <alignment horizontal="left" vertical="center" wrapText="1"/>
    </xf>
  </cellStyleXfs>
  <cellXfs count="150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9" fillId="3" borderId="1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 wrapText="1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7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10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10" xfId="0" applyNumberFormat="1" applyFont="1" applyFill="1" applyBorder="1" applyAlignment="1">
      <alignment horizontal="right"/>
    </xf>
    <xf numFmtId="0" fontId="9" fillId="8" borderId="11" xfId="0" applyFont="1" applyFill="1" applyBorder="1" applyAlignment="1">
      <alignment horizontal="center" vertical="center"/>
    </xf>
    <xf numFmtId="166" fontId="7" fillId="7" borderId="10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7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vertical="center"/>
    </xf>
    <xf numFmtId="166" fontId="7" fillId="8" borderId="26" xfId="0" applyNumberFormat="1" applyFont="1" applyFill="1" applyBorder="1"/>
    <xf numFmtId="164" fontId="7" fillId="8" borderId="27" xfId="0" applyNumberFormat="1" applyFont="1" applyFill="1" applyBorder="1"/>
    <xf numFmtId="164" fontId="7" fillId="8" borderId="12" xfId="0" applyNumberFormat="1" applyFont="1" applyFill="1" applyBorder="1"/>
    <xf numFmtId="0" fontId="6" fillId="0" borderId="0" xfId="0" applyFont="1" applyAlignment="1">
      <alignment vertical="center"/>
    </xf>
    <xf numFmtId="9" fontId="7" fillId="0" borderId="6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169" fontId="7" fillId="0" borderId="6" xfId="0" applyNumberFormat="1" applyFont="1" applyBorder="1" applyAlignment="1">
      <alignment horizontal="center" vertical="center"/>
    </xf>
    <xf numFmtId="168" fontId="7" fillId="0" borderId="6" xfId="0" applyNumberFormat="1" applyFont="1" applyBorder="1" applyAlignment="1">
      <alignment horizontal="center" vertical="center"/>
    </xf>
    <xf numFmtId="168" fontId="7" fillId="0" borderId="3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1" fontId="7" fillId="0" borderId="32" xfId="0" applyNumberFormat="1" applyFont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/>
    </xf>
    <xf numFmtId="0" fontId="10" fillId="9" borderId="11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2" xfId="3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vertical="center"/>
    </xf>
    <xf numFmtId="0" fontId="10" fillId="9" borderId="24" xfId="0" applyFont="1" applyFill="1" applyBorder="1" applyAlignment="1">
      <alignment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5" xfId="0" applyNumberFormat="1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10" xfId="0" applyNumberFormat="1" applyFont="1" applyFill="1" applyBorder="1" applyAlignment="1">
      <alignment vertical="center"/>
    </xf>
    <xf numFmtId="0" fontId="8" fillId="11" borderId="4" xfId="0" applyFont="1" applyFill="1" applyBorder="1" applyAlignment="1">
      <alignment horizontal="center" vertical="center"/>
    </xf>
    <xf numFmtId="165" fontId="8" fillId="11" borderId="12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3" borderId="0" xfId="0" applyFont="1" applyFill="1" applyAlignment="1">
      <alignment horizontal="left" vertical="center"/>
    </xf>
    <xf numFmtId="0" fontId="10" fillId="9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 wrapText="1"/>
    </xf>
    <xf numFmtId="166" fontId="10" fillId="10" borderId="23" xfId="2" applyNumberFormat="1" applyFont="1" applyFill="1" applyBorder="1" applyAlignment="1">
      <alignment vertical="center"/>
    </xf>
    <xf numFmtId="166" fontId="10" fillId="10" borderId="8" xfId="2" applyNumberFormat="1" applyFont="1" applyFill="1" applyBorder="1" applyAlignment="1">
      <alignment vertical="center"/>
    </xf>
    <xf numFmtId="0" fontId="10" fillId="10" borderId="23" xfId="0" applyFont="1" applyFill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167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24" fillId="9" borderId="16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  <xf numFmtId="37" fontId="9" fillId="0" borderId="32" xfId="0" applyNumberFormat="1" applyFont="1" applyBorder="1" applyAlignment="1">
      <alignment horizontal="center" vertical="center" wrapText="1"/>
    </xf>
    <xf numFmtId="37" fontId="9" fillId="0" borderId="3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67BC2"/>
      <color rgb="FFCF9843"/>
      <color rgb="FF84BCDA"/>
      <color rgb="FF2D2D2D"/>
      <color rgb="FF3366CC"/>
      <color rgb="FF4F81BD"/>
      <color rgb="FF0000B3"/>
      <color rgb="FF00B300"/>
      <color rgb="FFEFF5F5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67BC2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Utilities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14781.078432735549</c:v>
                </c:pt>
                <c:pt idx="1">
                  <c:v>124945.71794366481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8623104"/>
        <c:axId val="208624640"/>
        <c:axId val="0"/>
      </c:bar3DChart>
      <c:catAx>
        <c:axId val="20862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624640"/>
        <c:crosses val="autoZero"/>
        <c:auto val="1"/>
        <c:lblAlgn val="ctr"/>
        <c:lblOffset val="100"/>
        <c:noMultiLvlLbl val="0"/>
      </c:catAx>
      <c:valAx>
        <c:axId val="20862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623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12370</xdr:colOff>
      <xdr:row>0</xdr:row>
      <xdr:rowOff>37110</xdr:rowOff>
    </xdr:from>
    <xdr:to>
      <xdr:col>11</xdr:col>
      <xdr:colOff>630877</xdr:colOff>
      <xdr:row>17</xdr:row>
      <xdr:rowOff>142502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153940</xdr:colOff>
      <xdr:row>1</xdr:row>
      <xdr:rowOff>86591</xdr:rowOff>
    </xdr:from>
    <xdr:to>
      <xdr:col>15</xdr:col>
      <xdr:colOff>1112392</xdr:colOff>
      <xdr:row>8</xdr:row>
      <xdr:rowOff>115455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83" t="24050" r="8740" b="16138"/>
        <a:stretch>
          <a:fillRect/>
        </a:stretch>
      </xdr:blipFill>
      <xdr:spPr>
        <a:xfrm>
          <a:off x="14383713" y="86591"/>
          <a:ext cx="1997544" cy="1414319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7" zoomScaleNormal="100" zoomScaleSheetLayoutView="77" workbookViewId="0">
      <pane ySplit="10" topLeftCell="A11" activePane="bottomLeft" state="frozen"/>
      <selection activeCell="N7" sqref="N7"/>
      <selection pane="bottomLeft" activeCell="B3" sqref="B3"/>
    </sheetView>
  </sheetViews>
  <sheetFormatPr defaultColWidth="9" defaultRowHeight="14.25" x14ac:dyDescent="0.2"/>
  <cols>
    <col min="1" max="1" width="23.625" style="36" customWidth="1"/>
    <col min="2" max="2" width="44.875" style="36" customWidth="1"/>
    <col min="3" max="4" width="17.625" style="40" customWidth="1"/>
    <col min="5" max="16384" width="9" style="36"/>
  </cols>
  <sheetData>
    <row r="1" spans="1:4" ht="15" x14ac:dyDescent="0.2">
      <c r="A1" s="55"/>
      <c r="B1" s="41"/>
      <c r="C1" s="79"/>
      <c r="D1" s="56"/>
    </row>
    <row r="2" spans="1:4" ht="15" x14ac:dyDescent="0.2">
      <c r="A2" s="20" t="s">
        <v>40</v>
      </c>
      <c r="B2" s="19"/>
      <c r="C2" s="80"/>
      <c r="D2" s="10"/>
    </row>
    <row r="3" spans="1:4" ht="15" x14ac:dyDescent="0.2">
      <c r="A3" s="20"/>
      <c r="B3" s="19"/>
      <c r="C3" s="80"/>
      <c r="D3" s="10"/>
    </row>
    <row r="4" spans="1:4" ht="15" x14ac:dyDescent="0.2">
      <c r="A4" s="20" t="s">
        <v>32</v>
      </c>
      <c r="B4" s="19"/>
      <c r="C4" s="80"/>
      <c r="D4" s="10"/>
    </row>
    <row r="5" spans="1:4" ht="15" x14ac:dyDescent="0.2">
      <c r="A5" s="20"/>
      <c r="B5" s="19"/>
      <c r="C5" s="80"/>
      <c r="D5" s="10"/>
    </row>
    <row r="6" spans="1:4" ht="15" x14ac:dyDescent="0.2">
      <c r="A6" s="20" t="s">
        <v>31</v>
      </c>
      <c r="B6" s="19">
        <v>2</v>
      </c>
      <c r="C6" s="80"/>
      <c r="D6" s="10"/>
    </row>
    <row r="7" spans="1:4" ht="15" x14ac:dyDescent="0.2">
      <c r="A7" s="20"/>
      <c r="B7" s="82"/>
      <c r="C7" s="80"/>
      <c r="D7" s="10"/>
    </row>
    <row r="8" spans="1:4" ht="15" x14ac:dyDescent="0.2">
      <c r="A8" s="20" t="s">
        <v>52</v>
      </c>
      <c r="B8" s="19">
        <v>2500</v>
      </c>
      <c r="C8" s="80"/>
      <c r="D8" s="10"/>
    </row>
    <row r="9" spans="1:4" ht="15.75" thickBot="1" x14ac:dyDescent="0.3">
      <c r="A9" s="20"/>
      <c r="B9" s="57"/>
      <c r="C9" s="81"/>
      <c r="D9" s="58"/>
    </row>
    <row r="10" spans="1:4" s="37" customFormat="1" ht="30.75" thickBot="1" x14ac:dyDescent="0.25">
      <c r="A10" s="127" t="s">
        <v>15</v>
      </c>
      <c r="B10" s="128" t="s">
        <v>0</v>
      </c>
      <c r="C10" s="128" t="s">
        <v>16</v>
      </c>
      <c r="D10" s="129" t="s">
        <v>53</v>
      </c>
    </row>
    <row r="11" spans="1:4" ht="15" x14ac:dyDescent="0.2">
      <c r="A11" s="87">
        <v>1000</v>
      </c>
      <c r="B11" s="88" t="s">
        <v>17</v>
      </c>
      <c r="C11" s="89">
        <f>'MATERIAL TAKE-OFF'!P19</f>
        <v>14781.078432735549</v>
      </c>
      <c r="D11" s="90">
        <f>C11/$B$8</f>
        <v>5.9124313730942193</v>
      </c>
    </row>
    <row r="12" spans="1:4" ht="15" x14ac:dyDescent="0.2">
      <c r="A12" s="59">
        <v>3300</v>
      </c>
      <c r="B12" s="54" t="s">
        <v>88</v>
      </c>
      <c r="C12" s="78">
        <f>'MATERIAL TAKE-OFF'!P64</f>
        <v>124945.71794366481</v>
      </c>
      <c r="D12" s="91">
        <f t="shared" ref="D12" si="0">C12/$B$8</f>
        <v>49.978287177465923</v>
      </c>
    </row>
    <row r="13" spans="1:4" s="38" customFormat="1" ht="15.75" thickBot="1" x14ac:dyDescent="0.25">
      <c r="A13" s="132" t="s">
        <v>12</v>
      </c>
      <c r="B13" s="132"/>
      <c r="C13" s="130">
        <f>SUM(C11:C12)</f>
        <v>139726.79637640037</v>
      </c>
      <c r="D13" s="130">
        <f>SUM(D11:D12)</f>
        <v>55.890718550560145</v>
      </c>
    </row>
    <row r="14" spans="1:4" ht="15.75" thickBot="1" x14ac:dyDescent="0.25">
      <c r="A14" s="133"/>
      <c r="B14" s="133"/>
      <c r="C14" s="133"/>
      <c r="D14" s="133"/>
    </row>
    <row r="15" spans="1:4" s="39" customFormat="1" ht="15" x14ac:dyDescent="0.2">
      <c r="A15" s="42" t="s">
        <v>20</v>
      </c>
      <c r="B15" s="43">
        <v>0.2</v>
      </c>
      <c r="C15" s="60">
        <f>$C$13*B15</f>
        <v>27945.359275280076</v>
      </c>
      <c r="D15" s="60">
        <f>$D$13*B15</f>
        <v>11.17814371011203</v>
      </c>
    </row>
    <row r="16" spans="1:4" s="39" customFormat="1" ht="15" x14ac:dyDescent="0.2">
      <c r="A16" s="42" t="s">
        <v>5</v>
      </c>
      <c r="B16" s="43">
        <v>0.03</v>
      </c>
      <c r="C16" s="60">
        <f>$C$13*B16</f>
        <v>4191.803891292011</v>
      </c>
      <c r="D16" s="60">
        <f>$D$13*B16</f>
        <v>1.6767215565168043</v>
      </c>
    </row>
    <row r="17" spans="1:4" s="39" customFormat="1" ht="15.75" thickBot="1" x14ac:dyDescent="0.25">
      <c r="A17" s="42" t="s">
        <v>18</v>
      </c>
      <c r="B17" s="43">
        <v>0.05</v>
      </c>
      <c r="C17" s="60">
        <f>$C$13*B17</f>
        <v>6986.339818820019</v>
      </c>
      <c r="D17" s="60">
        <f>$D$13*B17</f>
        <v>2.7945359275280075</v>
      </c>
    </row>
    <row r="18" spans="1:4" s="37" customFormat="1" ht="15.75" thickBot="1" x14ac:dyDescent="0.25">
      <c r="A18" s="134" t="s">
        <v>30</v>
      </c>
      <c r="B18" s="135"/>
      <c r="C18" s="131">
        <f>SUM(C13:C17)</f>
        <v>178850.29936179245</v>
      </c>
      <c r="D18" s="131">
        <f>SUM(D13:D17)</f>
        <v>71.540119744716989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S84"/>
  <sheetViews>
    <sheetView showGridLines="0" tabSelected="1" topLeftCell="A2" zoomScale="66" zoomScaleNormal="66" zoomScaleSheetLayoutView="55" workbookViewId="0">
      <pane ySplit="9" topLeftCell="A44" activePane="bottomLeft" state="frozen"/>
      <selection activeCell="N7" sqref="N7"/>
      <selection pane="bottomLeft" activeCell="E8" sqref="E8"/>
    </sheetView>
  </sheetViews>
  <sheetFormatPr defaultColWidth="9" defaultRowHeight="14.25" x14ac:dyDescent="0.2"/>
  <cols>
    <col min="1" max="1" width="8.625" style="7" customWidth="1"/>
    <col min="2" max="2" width="13.7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50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1.12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4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5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26</v>
      </c>
      <c r="B3" s="19"/>
      <c r="C3" s="3"/>
      <c r="D3" s="8"/>
      <c r="E3" s="3"/>
      <c r="F3" s="8"/>
      <c r="G3" s="62"/>
      <c r="H3" s="62"/>
      <c r="K3" s="149"/>
      <c r="L3" s="149"/>
      <c r="M3" s="149"/>
      <c r="N3" s="149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1"/>
      <c r="H4" s="76"/>
      <c r="K4" s="137"/>
      <c r="L4" s="137"/>
      <c r="M4" s="139"/>
      <c r="N4" s="137"/>
      <c r="P4" s="9"/>
    </row>
    <row r="5" spans="1:17" ht="15" customHeight="1" x14ac:dyDescent="0.2">
      <c r="A5" s="18" t="s">
        <v>32</v>
      </c>
      <c r="B5" s="19"/>
      <c r="C5" s="3"/>
      <c r="D5" s="8"/>
      <c r="E5" s="3"/>
      <c r="F5" s="8"/>
      <c r="G5" s="61"/>
      <c r="H5" s="76"/>
      <c r="K5" s="137"/>
      <c r="L5" s="137"/>
      <c r="M5" s="138"/>
      <c r="N5" s="137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1"/>
      <c r="H6" s="76"/>
      <c r="K6" s="137"/>
      <c r="L6" s="137"/>
      <c r="M6" s="138"/>
      <c r="N6" s="137"/>
      <c r="P6" s="9"/>
    </row>
    <row r="7" spans="1:17" ht="15" customHeight="1" x14ac:dyDescent="0.2">
      <c r="A7" s="18" t="s">
        <v>21</v>
      </c>
      <c r="B7" s="126" t="s">
        <v>89</v>
      </c>
      <c r="C7" s="3"/>
      <c r="D7" s="8"/>
      <c r="E7" s="3"/>
      <c r="F7" s="8"/>
      <c r="G7" s="46"/>
      <c r="K7" s="137"/>
      <c r="L7" s="137"/>
      <c r="M7" s="138"/>
      <c r="N7" s="137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6"/>
      <c r="K8" s="137"/>
      <c r="L8" s="137"/>
      <c r="M8" s="139"/>
      <c r="N8" s="137"/>
      <c r="P8" s="9"/>
    </row>
    <row r="9" spans="1:17" ht="15" customHeight="1" x14ac:dyDescent="0.2">
      <c r="A9" s="18" t="s">
        <v>19</v>
      </c>
      <c r="B9" s="3"/>
      <c r="C9" s="125"/>
      <c r="D9" s="8"/>
      <c r="E9" s="3"/>
      <c r="F9" s="8"/>
      <c r="G9" s="46"/>
      <c r="P9" s="9"/>
    </row>
    <row r="10" spans="1:17" s="3" customFormat="1" ht="61.35" customHeight="1" x14ac:dyDescent="0.2">
      <c r="A10" s="107" t="s">
        <v>7</v>
      </c>
      <c r="B10" s="108" t="s">
        <v>25</v>
      </c>
      <c r="C10" s="106" t="s">
        <v>0</v>
      </c>
      <c r="D10" s="109" t="s">
        <v>1</v>
      </c>
      <c r="E10" s="106" t="s">
        <v>2</v>
      </c>
      <c r="F10" s="109" t="s">
        <v>22</v>
      </c>
      <c r="G10" s="110" t="s">
        <v>23</v>
      </c>
      <c r="H10" s="111" t="s">
        <v>35</v>
      </c>
      <c r="I10" s="108" t="s">
        <v>33</v>
      </c>
      <c r="J10" s="111" t="s">
        <v>36</v>
      </c>
      <c r="K10" s="108" t="s">
        <v>34</v>
      </c>
      <c r="L10" s="108" t="s">
        <v>27</v>
      </c>
      <c r="M10" s="108" t="s">
        <v>37</v>
      </c>
      <c r="N10" s="108" t="s">
        <v>28</v>
      </c>
      <c r="O10" s="108" t="s">
        <v>38</v>
      </c>
      <c r="P10" s="112" t="s">
        <v>11</v>
      </c>
    </row>
    <row r="11" spans="1:17" s="3" customFormat="1" ht="18" customHeight="1" x14ac:dyDescent="0.2">
      <c r="A11" s="113"/>
      <c r="B11" s="146" t="s">
        <v>56</v>
      </c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14"/>
    </row>
    <row r="12" spans="1:17" ht="18" customHeight="1" x14ac:dyDescent="0.2">
      <c r="A12" s="98">
        <v>1</v>
      </c>
      <c r="B12" s="99"/>
      <c r="C12" s="100" t="s">
        <v>8</v>
      </c>
      <c r="D12" s="99">
        <v>1</v>
      </c>
      <c r="E12" s="99" t="s">
        <v>6</v>
      </c>
      <c r="F12" s="93">
        <v>0</v>
      </c>
      <c r="G12" s="94">
        <f t="shared" ref="G12:G18" si="0">(F12*D12)+D12</f>
        <v>1</v>
      </c>
      <c r="H12" s="95">
        <f>2.5%*$Q$12/I12</f>
        <v>37.115529332124773</v>
      </c>
      <c r="I12" s="96">
        <v>84.16</v>
      </c>
      <c r="J12" s="94">
        <f t="shared" ref="J12:J18" si="1">H12*G12</f>
        <v>37.115529332124773</v>
      </c>
      <c r="K12" s="96">
        <f t="shared" ref="K12:K18" si="2">I12*J12</f>
        <v>3123.6429485916206</v>
      </c>
      <c r="L12" s="96">
        <v>0</v>
      </c>
      <c r="M12" s="96">
        <f t="shared" ref="M12:M18" si="3">L12*G12</f>
        <v>0</v>
      </c>
      <c r="N12" s="96">
        <v>0</v>
      </c>
      <c r="O12" s="96">
        <f t="shared" ref="O12:O18" si="4">N12*G12</f>
        <v>0</v>
      </c>
      <c r="P12" s="97">
        <f t="shared" ref="P12:P18" si="5">IF(D12="","",(K12+M12+O12))</f>
        <v>3123.6429485916206</v>
      </c>
      <c r="Q12" s="51">
        <f>SUM(P22:P64)/2</f>
        <v>124945.71794366481</v>
      </c>
    </row>
    <row r="13" spans="1:17" ht="18" customHeight="1" x14ac:dyDescent="0.2">
      <c r="A13" s="101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93">
        <v>0</v>
      </c>
      <c r="G13" s="94">
        <f t="shared" si="0"/>
        <v>1</v>
      </c>
      <c r="H13" s="95">
        <f>1.65%*$Q$12/I13</f>
        <v>24.496249359202348</v>
      </c>
      <c r="I13" s="96">
        <v>84.16</v>
      </c>
      <c r="J13" s="94">
        <f t="shared" si="1"/>
        <v>24.496249359202348</v>
      </c>
      <c r="K13" s="96">
        <f t="shared" si="2"/>
        <v>2061.6043460704695</v>
      </c>
      <c r="L13" s="96">
        <v>0</v>
      </c>
      <c r="M13" s="96">
        <f t="shared" si="3"/>
        <v>0</v>
      </c>
      <c r="N13" s="96">
        <v>0</v>
      </c>
      <c r="O13" s="96">
        <f t="shared" si="4"/>
        <v>0</v>
      </c>
      <c r="P13" s="97">
        <f t="shared" si="5"/>
        <v>2061.6043460704695</v>
      </c>
    </row>
    <row r="14" spans="1:17" ht="18" customHeight="1" x14ac:dyDescent="0.2">
      <c r="A14" s="101">
        <f t="shared" si="6"/>
        <v>3</v>
      </c>
      <c r="B14" s="21"/>
      <c r="C14" s="22" t="s">
        <v>9</v>
      </c>
      <c r="D14" s="21">
        <v>1</v>
      </c>
      <c r="E14" s="21" t="s">
        <v>6</v>
      </c>
      <c r="F14" s="93">
        <v>0</v>
      </c>
      <c r="G14" s="94">
        <f t="shared" si="0"/>
        <v>1</v>
      </c>
      <c r="H14" s="95">
        <f>0.85%*$Q$12/I14</f>
        <v>12.619279972922422</v>
      </c>
      <c r="I14" s="96">
        <v>84.16</v>
      </c>
      <c r="J14" s="94">
        <f t="shared" si="1"/>
        <v>12.619279972922422</v>
      </c>
      <c r="K14" s="96">
        <f t="shared" si="2"/>
        <v>1062.038602521151</v>
      </c>
      <c r="L14" s="96">
        <v>0</v>
      </c>
      <c r="M14" s="96">
        <f t="shared" si="3"/>
        <v>0</v>
      </c>
      <c r="N14" s="96">
        <v>0</v>
      </c>
      <c r="O14" s="96">
        <f t="shared" si="4"/>
        <v>0</v>
      </c>
      <c r="P14" s="97">
        <f t="shared" si="5"/>
        <v>1062.038602521151</v>
      </c>
    </row>
    <row r="15" spans="1:17" ht="18" customHeight="1" x14ac:dyDescent="0.2">
      <c r="A15" s="101">
        <f t="shared" si="6"/>
        <v>4</v>
      </c>
      <c r="B15" s="21"/>
      <c r="C15" s="22" t="s">
        <v>3</v>
      </c>
      <c r="D15" s="21">
        <v>1</v>
      </c>
      <c r="E15" s="21" t="s">
        <v>6</v>
      </c>
      <c r="F15" s="93">
        <v>0</v>
      </c>
      <c r="G15" s="94">
        <f t="shared" si="0"/>
        <v>1</v>
      </c>
      <c r="H15" s="95">
        <f>2.35%*$Q$12/I15</f>
        <v>34.888597572197284</v>
      </c>
      <c r="I15" s="96">
        <v>84.16</v>
      </c>
      <c r="J15" s="94">
        <f t="shared" si="1"/>
        <v>34.888597572197284</v>
      </c>
      <c r="K15" s="96">
        <f t="shared" si="2"/>
        <v>2936.2243716761232</v>
      </c>
      <c r="L15" s="96">
        <v>0</v>
      </c>
      <c r="M15" s="96">
        <f t="shared" si="3"/>
        <v>0</v>
      </c>
      <c r="N15" s="96">
        <v>0</v>
      </c>
      <c r="O15" s="96">
        <f t="shared" si="4"/>
        <v>0</v>
      </c>
      <c r="P15" s="97">
        <f t="shared" si="5"/>
        <v>2936.2243716761232</v>
      </c>
    </row>
    <row r="16" spans="1:17" ht="18" customHeight="1" x14ac:dyDescent="0.2">
      <c r="A16" s="101">
        <f t="shared" si="6"/>
        <v>5</v>
      </c>
      <c r="B16" s="102"/>
      <c r="C16" s="103" t="s">
        <v>29</v>
      </c>
      <c r="D16" s="102">
        <v>1</v>
      </c>
      <c r="E16" s="102" t="s">
        <v>6</v>
      </c>
      <c r="F16" s="93">
        <v>0</v>
      </c>
      <c r="G16" s="94">
        <f t="shared" si="0"/>
        <v>1</v>
      </c>
      <c r="H16" s="95">
        <f>2%*$Q$12/I16</f>
        <v>29.692423465699814</v>
      </c>
      <c r="I16" s="96">
        <v>84.16</v>
      </c>
      <c r="J16" s="94">
        <f t="shared" si="1"/>
        <v>29.692423465699814</v>
      </c>
      <c r="K16" s="96">
        <f t="shared" si="2"/>
        <v>2498.9143588732964</v>
      </c>
      <c r="L16" s="96">
        <v>0</v>
      </c>
      <c r="M16" s="96">
        <f t="shared" si="3"/>
        <v>0</v>
      </c>
      <c r="N16" s="96">
        <v>0</v>
      </c>
      <c r="O16" s="96">
        <f t="shared" si="4"/>
        <v>0</v>
      </c>
      <c r="P16" s="97">
        <f t="shared" si="5"/>
        <v>2498.9143588732964</v>
      </c>
    </row>
    <row r="17" spans="1:19" ht="18" customHeight="1" x14ac:dyDescent="0.2">
      <c r="A17" s="101">
        <f t="shared" si="6"/>
        <v>6</v>
      </c>
      <c r="B17" s="102"/>
      <c r="C17" s="103" t="s">
        <v>4</v>
      </c>
      <c r="D17" s="102">
        <v>1</v>
      </c>
      <c r="E17" s="102" t="s">
        <v>6</v>
      </c>
      <c r="F17" s="93">
        <v>0</v>
      </c>
      <c r="G17" s="94">
        <f t="shared" si="0"/>
        <v>1</v>
      </c>
      <c r="H17" s="95">
        <f>0.98%*$Q$12/I17</f>
        <v>14.549287498192909</v>
      </c>
      <c r="I17" s="96">
        <v>84.16</v>
      </c>
      <c r="J17" s="94">
        <f t="shared" si="1"/>
        <v>14.549287498192909</v>
      </c>
      <c r="K17" s="96">
        <f t="shared" si="2"/>
        <v>1224.4680358479152</v>
      </c>
      <c r="L17" s="96">
        <v>0</v>
      </c>
      <c r="M17" s="96">
        <f t="shared" si="3"/>
        <v>0</v>
      </c>
      <c r="N17" s="96">
        <v>0</v>
      </c>
      <c r="O17" s="96">
        <f t="shared" si="4"/>
        <v>0</v>
      </c>
      <c r="P17" s="97">
        <f t="shared" si="5"/>
        <v>1224.4680358479152</v>
      </c>
    </row>
    <row r="18" spans="1:19" ht="18" customHeight="1" x14ac:dyDescent="0.2">
      <c r="A18" s="104">
        <f t="shared" si="6"/>
        <v>7</v>
      </c>
      <c r="B18" s="102"/>
      <c r="C18" s="103" t="s">
        <v>14</v>
      </c>
      <c r="D18" s="105">
        <v>1</v>
      </c>
      <c r="E18" s="102" t="s">
        <v>6</v>
      </c>
      <c r="F18" s="93">
        <v>0</v>
      </c>
      <c r="G18" s="94">
        <f t="shared" si="0"/>
        <v>1</v>
      </c>
      <c r="H18" s="95">
        <f>1.5%*$Q$12/I18</f>
        <v>22.26931759927486</v>
      </c>
      <c r="I18" s="96">
        <v>84.16</v>
      </c>
      <c r="J18" s="94">
        <f t="shared" si="1"/>
        <v>22.26931759927486</v>
      </c>
      <c r="K18" s="96">
        <f t="shared" si="2"/>
        <v>1874.1857691549721</v>
      </c>
      <c r="L18" s="96">
        <v>0</v>
      </c>
      <c r="M18" s="96">
        <f t="shared" si="3"/>
        <v>0</v>
      </c>
      <c r="N18" s="96">
        <v>0</v>
      </c>
      <c r="O18" s="96">
        <f t="shared" si="4"/>
        <v>0</v>
      </c>
      <c r="P18" s="97">
        <f t="shared" si="5"/>
        <v>1874.1857691549721</v>
      </c>
      <c r="R18" s="51"/>
      <c r="S18" s="51"/>
    </row>
    <row r="19" spans="1:19" s="3" customFormat="1" ht="18" customHeight="1" x14ac:dyDescent="0.2">
      <c r="A19" s="117" t="str">
        <f>IF(E19=0,"",1+MAX(#REF!))</f>
        <v/>
      </c>
      <c r="B19" s="118"/>
      <c r="C19" s="119"/>
      <c r="D19" s="120"/>
      <c r="E19" s="120"/>
      <c r="F19" s="120"/>
      <c r="G19" s="121"/>
      <c r="H19" s="120"/>
      <c r="I19" s="120"/>
      <c r="J19" s="120"/>
      <c r="K19" s="120"/>
      <c r="L19" s="120"/>
      <c r="M19" s="120"/>
      <c r="N19" s="120"/>
      <c r="O19" s="120" t="s">
        <v>24</v>
      </c>
      <c r="P19" s="122">
        <f>SUM(P12:P18)</f>
        <v>14781.078432735549</v>
      </c>
    </row>
    <row r="20" spans="1:19" ht="18" customHeight="1" x14ac:dyDescent="0.2">
      <c r="A20" s="68" t="str">
        <f>IF(E20=0,"",1+MAX(A19:A19))</f>
        <v/>
      </c>
      <c r="B20" s="69"/>
      <c r="C20" s="23"/>
      <c r="D20" s="24"/>
      <c r="E20" s="23"/>
      <c r="F20" s="24"/>
      <c r="G20" s="47"/>
      <c r="H20" s="11"/>
      <c r="I20" s="25"/>
      <c r="J20" s="11"/>
      <c r="K20" s="25"/>
      <c r="L20" s="25"/>
      <c r="M20" s="25"/>
      <c r="N20" s="25"/>
      <c r="O20" s="25"/>
      <c r="P20" s="26"/>
    </row>
    <row r="21" spans="1:19" s="3" customFormat="1" ht="18" customHeight="1" x14ac:dyDescent="0.2">
      <c r="A21" s="113" t="str">
        <f>IF(E21=0,"",1+MAX(A19:A20))</f>
        <v/>
      </c>
      <c r="B21" s="146" t="s">
        <v>58</v>
      </c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14"/>
    </row>
    <row r="22" spans="1:19" s="3" customFormat="1" ht="15" x14ac:dyDescent="0.2">
      <c r="A22" s="83" t="str">
        <f>IF(E22=0,"",1+MAX(A19:A21))</f>
        <v/>
      </c>
      <c r="B22" s="29"/>
      <c r="C22" s="77" t="s">
        <v>59</v>
      </c>
      <c r="D22" s="28"/>
      <c r="E22" s="28"/>
      <c r="F22" s="84"/>
      <c r="G22" s="85"/>
      <c r="H22" s="85"/>
      <c r="I22" s="86"/>
      <c r="J22" s="85"/>
      <c r="K22" s="86"/>
      <c r="L22" s="86"/>
      <c r="M22" s="86"/>
      <c r="N22" s="86"/>
      <c r="O22" s="86"/>
      <c r="P22" s="86"/>
    </row>
    <row r="23" spans="1:19" ht="13.5" customHeight="1" x14ac:dyDescent="0.2">
      <c r="A23" s="27">
        <f>IF(D23=0,"",1+MAX(A$12:A22))</f>
        <v>8</v>
      </c>
      <c r="B23" s="147" t="s">
        <v>60</v>
      </c>
      <c r="C23" s="53" t="s">
        <v>61</v>
      </c>
      <c r="D23" s="28">
        <v>1</v>
      </c>
      <c r="E23" s="28" t="s">
        <v>54</v>
      </c>
      <c r="F23" s="84">
        <v>0</v>
      </c>
      <c r="G23" s="85">
        <f t="shared" ref="G23:G30" si="7">(F23*D23)+D23</f>
        <v>1</v>
      </c>
      <c r="H23" s="85">
        <v>43.012500000000003</v>
      </c>
      <c r="I23" s="86">
        <v>77.19</v>
      </c>
      <c r="J23" s="85">
        <f t="shared" ref="J23:J30" si="8">H23*G23</f>
        <v>43.012500000000003</v>
      </c>
      <c r="K23" s="86">
        <f t="shared" ref="K23:K30" si="9">I23*J23</f>
        <v>3320.1348750000002</v>
      </c>
      <c r="L23" s="86">
        <v>15455.108125000001</v>
      </c>
      <c r="M23" s="86">
        <f t="shared" ref="M23:M30" si="10">L23*G23</f>
        <v>15455.108125000001</v>
      </c>
      <c r="N23" s="86">
        <v>0</v>
      </c>
      <c r="O23" s="86">
        <f t="shared" ref="O23:O30" si="11">N23*G23</f>
        <v>0</v>
      </c>
      <c r="P23" s="86">
        <f t="shared" ref="P23:P30" si="12">IF(D23="","",(K23+M23+O23))</f>
        <v>18775.243000000002</v>
      </c>
      <c r="R23" s="51"/>
      <c r="S23" s="51"/>
    </row>
    <row r="24" spans="1:19" ht="13.5" customHeight="1" x14ac:dyDescent="0.2">
      <c r="A24" s="27">
        <f>IF(D24=0,"",1+MAX(A$12:A23))</f>
        <v>9</v>
      </c>
      <c r="B24" s="148"/>
      <c r="C24" s="53" t="s">
        <v>62</v>
      </c>
      <c r="D24" s="28">
        <v>1</v>
      </c>
      <c r="E24" s="28" t="s">
        <v>54</v>
      </c>
      <c r="F24" s="84">
        <v>0</v>
      </c>
      <c r="G24" s="85">
        <f t="shared" si="7"/>
        <v>1</v>
      </c>
      <c r="H24" s="85">
        <v>8.2268575000000013</v>
      </c>
      <c r="I24" s="86">
        <v>77.19</v>
      </c>
      <c r="J24" s="85">
        <f t="shared" si="8"/>
        <v>8.2268575000000013</v>
      </c>
      <c r="K24" s="86">
        <f t="shared" si="9"/>
        <v>635.03113042500013</v>
      </c>
      <c r="L24" s="86">
        <v>813.07962499999996</v>
      </c>
      <c r="M24" s="86">
        <f t="shared" si="10"/>
        <v>813.07962499999996</v>
      </c>
      <c r="N24" s="86">
        <v>0</v>
      </c>
      <c r="O24" s="86">
        <f t="shared" si="11"/>
        <v>0</v>
      </c>
      <c r="P24" s="86">
        <f t="shared" si="12"/>
        <v>1448.1107554250002</v>
      </c>
      <c r="R24" s="51"/>
      <c r="S24" s="51"/>
    </row>
    <row r="25" spans="1:19" ht="13.5" customHeight="1" x14ac:dyDescent="0.2">
      <c r="A25" s="27">
        <f>IF(D25=0,"",1+MAX(A$12:A24))</f>
        <v>10</v>
      </c>
      <c r="B25" s="148"/>
      <c r="C25" s="53" t="s">
        <v>63</v>
      </c>
      <c r="D25" s="28">
        <v>1</v>
      </c>
      <c r="E25" s="28" t="s">
        <v>54</v>
      </c>
      <c r="F25" s="84">
        <v>0</v>
      </c>
      <c r="G25" s="85">
        <f t="shared" si="7"/>
        <v>1</v>
      </c>
      <c r="H25" s="85">
        <v>36.658120000000004</v>
      </c>
      <c r="I25" s="86">
        <v>77.19</v>
      </c>
      <c r="J25" s="85">
        <f t="shared" si="8"/>
        <v>36.658120000000004</v>
      </c>
      <c r="K25" s="86">
        <f t="shared" si="9"/>
        <v>2829.6402828</v>
      </c>
      <c r="L25" s="86">
        <v>3257.7667499999998</v>
      </c>
      <c r="M25" s="86">
        <f t="shared" si="10"/>
        <v>3257.7667499999998</v>
      </c>
      <c r="N25" s="86">
        <v>0</v>
      </c>
      <c r="O25" s="86">
        <f t="shared" si="11"/>
        <v>0</v>
      </c>
      <c r="P25" s="86">
        <f t="shared" si="12"/>
        <v>6087.4070327999998</v>
      </c>
      <c r="R25" s="51"/>
      <c r="S25" s="51"/>
    </row>
    <row r="26" spans="1:19" ht="13.5" customHeight="1" x14ac:dyDescent="0.2">
      <c r="A26" s="27">
        <f>IF(D26=0,"",1+MAX(A$12:A25))</f>
        <v>11</v>
      </c>
      <c r="B26" s="148"/>
      <c r="C26" s="53" t="s">
        <v>64</v>
      </c>
      <c r="D26" s="28">
        <v>1</v>
      </c>
      <c r="E26" s="28" t="s">
        <v>54</v>
      </c>
      <c r="F26" s="84">
        <v>0</v>
      </c>
      <c r="G26" s="85">
        <f t="shared" si="7"/>
        <v>1</v>
      </c>
      <c r="H26" s="85">
        <v>54.258835000000012</v>
      </c>
      <c r="I26" s="86">
        <v>77.19</v>
      </c>
      <c r="J26" s="85">
        <f t="shared" si="8"/>
        <v>54.258835000000012</v>
      </c>
      <c r="K26" s="86">
        <f t="shared" si="9"/>
        <v>4188.2394736500009</v>
      </c>
      <c r="L26" s="86">
        <v>5266.4504999999999</v>
      </c>
      <c r="M26" s="86">
        <f t="shared" si="10"/>
        <v>5266.4504999999999</v>
      </c>
      <c r="N26" s="86">
        <v>0</v>
      </c>
      <c r="O26" s="86">
        <f t="shared" si="11"/>
        <v>0</v>
      </c>
      <c r="P26" s="86">
        <f t="shared" si="12"/>
        <v>9454.6899736500018</v>
      </c>
      <c r="R26" s="51"/>
      <c r="S26" s="51"/>
    </row>
    <row r="27" spans="1:19" ht="13.5" customHeight="1" x14ac:dyDescent="0.2">
      <c r="A27" s="27">
        <f>IF(D27=0,"",1+MAX(A$12:A26))</f>
        <v>12</v>
      </c>
      <c r="B27" s="148"/>
      <c r="C27" s="53" t="s">
        <v>65</v>
      </c>
      <c r="D27" s="28">
        <v>2</v>
      </c>
      <c r="E27" s="28" t="s">
        <v>54</v>
      </c>
      <c r="F27" s="84">
        <v>0</v>
      </c>
      <c r="G27" s="85">
        <f t="shared" si="7"/>
        <v>2</v>
      </c>
      <c r="H27" s="85">
        <v>54.258835000000012</v>
      </c>
      <c r="I27" s="86">
        <v>77.19</v>
      </c>
      <c r="J27" s="85">
        <f t="shared" si="8"/>
        <v>108.51767000000002</v>
      </c>
      <c r="K27" s="86">
        <f t="shared" si="9"/>
        <v>8376.4789473000019</v>
      </c>
      <c r="L27" s="86">
        <v>5266.4504999999999</v>
      </c>
      <c r="M27" s="86">
        <f t="shared" si="10"/>
        <v>10532.901</v>
      </c>
      <c r="N27" s="86">
        <v>0</v>
      </c>
      <c r="O27" s="86">
        <f t="shared" si="11"/>
        <v>0</v>
      </c>
      <c r="P27" s="86">
        <f t="shared" si="12"/>
        <v>18909.379947300004</v>
      </c>
      <c r="R27" s="51"/>
      <c r="S27" s="51"/>
    </row>
    <row r="28" spans="1:19" ht="13.5" customHeight="1" x14ac:dyDescent="0.2">
      <c r="A28" s="27" t="str">
        <f>IF(D28=0,"",1+MAX(A$12:A27))</f>
        <v/>
      </c>
      <c r="B28" s="148"/>
      <c r="C28" s="77" t="s">
        <v>66</v>
      </c>
      <c r="D28" s="28"/>
      <c r="E28" s="28"/>
      <c r="F28" s="84"/>
      <c r="G28" s="85"/>
      <c r="H28" s="85"/>
      <c r="I28" s="86"/>
      <c r="J28" s="85"/>
      <c r="K28" s="86"/>
      <c r="L28" s="86"/>
      <c r="M28" s="86"/>
      <c r="N28" s="86"/>
      <c r="O28" s="86"/>
      <c r="P28" s="86"/>
      <c r="R28" s="51"/>
      <c r="S28" s="51"/>
    </row>
    <row r="29" spans="1:19" ht="13.5" customHeight="1" x14ac:dyDescent="0.2">
      <c r="A29" s="27">
        <f>IF(D29=0,"",1+MAX(A$12:A28))</f>
        <v>13</v>
      </c>
      <c r="B29" s="148"/>
      <c r="C29" s="53" t="s">
        <v>67</v>
      </c>
      <c r="D29" s="28">
        <v>123.34</v>
      </c>
      <c r="E29" s="28" t="s">
        <v>55</v>
      </c>
      <c r="F29" s="84">
        <v>0.1</v>
      </c>
      <c r="G29" s="85">
        <f t="shared" si="7"/>
        <v>135.67400000000001</v>
      </c>
      <c r="H29" s="85">
        <v>0.21275000000000002</v>
      </c>
      <c r="I29" s="86">
        <v>77.19</v>
      </c>
      <c r="J29" s="85">
        <f t="shared" si="8"/>
        <v>28.864643500000003</v>
      </c>
      <c r="K29" s="86">
        <f t="shared" si="9"/>
        <v>2228.0618317650001</v>
      </c>
      <c r="L29" s="86">
        <v>11.026</v>
      </c>
      <c r="M29" s="86">
        <f t="shared" si="10"/>
        <v>1495.9415240000001</v>
      </c>
      <c r="N29" s="86">
        <v>0</v>
      </c>
      <c r="O29" s="86">
        <f t="shared" si="11"/>
        <v>0</v>
      </c>
      <c r="P29" s="86">
        <f t="shared" si="12"/>
        <v>3724.0033557650004</v>
      </c>
      <c r="R29" s="51"/>
      <c r="S29" s="51"/>
    </row>
    <row r="30" spans="1:19" ht="13.5" customHeight="1" x14ac:dyDescent="0.2">
      <c r="A30" s="27">
        <f>IF(D30=0,"",1+MAX(A$12:A29))</f>
        <v>14</v>
      </c>
      <c r="B30" s="148"/>
      <c r="C30" s="53" t="s">
        <v>68</v>
      </c>
      <c r="D30" s="28">
        <v>130.83000000000001</v>
      </c>
      <c r="E30" s="28" t="s">
        <v>55</v>
      </c>
      <c r="F30" s="84">
        <v>0.1</v>
      </c>
      <c r="G30" s="85">
        <f t="shared" si="7"/>
        <v>143.91300000000001</v>
      </c>
      <c r="H30" s="85">
        <v>0.21275000000000002</v>
      </c>
      <c r="I30" s="86">
        <v>77.19</v>
      </c>
      <c r="J30" s="85">
        <f t="shared" si="8"/>
        <v>30.617490750000005</v>
      </c>
      <c r="K30" s="86">
        <f t="shared" si="9"/>
        <v>2363.3641109925002</v>
      </c>
      <c r="L30" s="86">
        <v>11.026</v>
      </c>
      <c r="M30" s="86">
        <f t="shared" si="10"/>
        <v>1586.7847380000001</v>
      </c>
      <c r="N30" s="86">
        <v>0</v>
      </c>
      <c r="O30" s="86">
        <f t="shared" si="11"/>
        <v>0</v>
      </c>
      <c r="P30" s="86">
        <f t="shared" si="12"/>
        <v>3950.1488489925005</v>
      </c>
      <c r="R30" s="51"/>
      <c r="S30" s="51"/>
    </row>
    <row r="31" spans="1:19" ht="13.5" customHeight="1" x14ac:dyDescent="0.2">
      <c r="A31" s="27" t="str">
        <f>IF(D31=0,"",1+MAX(A$12:A30))</f>
        <v/>
      </c>
      <c r="B31" s="148"/>
      <c r="C31" s="77" t="s">
        <v>69</v>
      </c>
      <c r="D31" s="28"/>
      <c r="E31" s="28"/>
      <c r="F31" s="84"/>
      <c r="G31" s="85"/>
      <c r="H31" s="85"/>
      <c r="I31" s="86"/>
      <c r="J31" s="85"/>
      <c r="K31" s="86"/>
      <c r="L31" s="86"/>
      <c r="M31" s="86"/>
      <c r="N31" s="86"/>
      <c r="O31" s="86"/>
      <c r="P31" s="86"/>
      <c r="R31" s="51"/>
      <c r="S31" s="51"/>
    </row>
    <row r="32" spans="1:19" ht="13.5" customHeight="1" x14ac:dyDescent="0.2">
      <c r="A32" s="27">
        <f>IF(D32=0,"",1+MAX(A$12:A31))</f>
        <v>15</v>
      </c>
      <c r="B32" s="148"/>
      <c r="C32" s="53" t="s">
        <v>70</v>
      </c>
      <c r="D32" s="28">
        <v>63.69</v>
      </c>
      <c r="E32" s="28" t="s">
        <v>55</v>
      </c>
      <c r="F32" s="84">
        <v>0.1</v>
      </c>
      <c r="G32" s="85">
        <f t="shared" ref="G32:G34" si="13">(F32*D32)+D32</f>
        <v>70.058999999999997</v>
      </c>
      <c r="H32" s="85">
        <v>0.27861000000000002</v>
      </c>
      <c r="I32" s="86">
        <v>77.19</v>
      </c>
      <c r="J32" s="85">
        <f t="shared" ref="J32:J34" si="14">H32*G32</f>
        <v>19.519137990000001</v>
      </c>
      <c r="K32" s="86">
        <f t="shared" ref="K32:K34" si="15">I32*J32</f>
        <v>1506.6822614481</v>
      </c>
      <c r="L32" s="86">
        <v>18.4815</v>
      </c>
      <c r="M32" s="86">
        <f t="shared" ref="M32:M34" si="16">L32*G32</f>
        <v>1294.7954084999999</v>
      </c>
      <c r="N32" s="86">
        <v>0</v>
      </c>
      <c r="O32" s="86">
        <f t="shared" ref="O32:O34" si="17">N32*G32</f>
        <v>0</v>
      </c>
      <c r="P32" s="86">
        <f t="shared" ref="P32:P34" si="18">IF(D32="","",(K32+M32+O32))</f>
        <v>2801.4776699480999</v>
      </c>
      <c r="R32" s="51"/>
      <c r="S32" s="51"/>
    </row>
    <row r="33" spans="1:19" s="3" customFormat="1" ht="15" customHeight="1" x14ac:dyDescent="0.2">
      <c r="A33" s="27">
        <f>IF(D33=0,"",1+MAX(A$12:A32))</f>
        <v>16</v>
      </c>
      <c r="B33" s="148"/>
      <c r="C33" s="53" t="s">
        <v>71</v>
      </c>
      <c r="D33" s="28">
        <f>64*1.5*3/27</f>
        <v>10.666666666666666</v>
      </c>
      <c r="E33" s="28" t="s">
        <v>72</v>
      </c>
      <c r="F33" s="84">
        <v>0.1</v>
      </c>
      <c r="G33" s="85">
        <f t="shared" si="13"/>
        <v>11.733333333333333</v>
      </c>
      <c r="H33" s="85">
        <v>0.59917087705661354</v>
      </c>
      <c r="I33" s="86">
        <v>77.19</v>
      </c>
      <c r="J33" s="85">
        <f t="shared" si="14"/>
        <v>7.0302716241309318</v>
      </c>
      <c r="K33" s="86">
        <f t="shared" si="15"/>
        <v>542.66666666666663</v>
      </c>
      <c r="L33" s="86"/>
      <c r="M33" s="86">
        <f t="shared" si="16"/>
        <v>0</v>
      </c>
      <c r="N33" s="86">
        <v>0</v>
      </c>
      <c r="O33" s="86">
        <f t="shared" si="17"/>
        <v>0</v>
      </c>
      <c r="P33" s="86">
        <f t="shared" si="18"/>
        <v>542.66666666666663</v>
      </c>
    </row>
    <row r="34" spans="1:19" ht="13.5" customHeight="1" x14ac:dyDescent="0.2">
      <c r="A34" s="27">
        <f>IF(D34=0,"",1+MAX(A$12:A33))</f>
        <v>17</v>
      </c>
      <c r="B34" s="148"/>
      <c r="C34" s="53" t="s">
        <v>73</v>
      </c>
      <c r="D34" s="28">
        <v>10.199999999999999</v>
      </c>
      <c r="E34" s="28" t="s">
        <v>72</v>
      </c>
      <c r="F34" s="84">
        <v>0.1</v>
      </c>
      <c r="G34" s="85">
        <f t="shared" si="13"/>
        <v>11.219999999999999</v>
      </c>
      <c r="H34" s="85">
        <v>0.43140303148076181</v>
      </c>
      <c r="I34" s="86">
        <v>77.19</v>
      </c>
      <c r="J34" s="85">
        <f t="shared" si="14"/>
        <v>4.8403420132141468</v>
      </c>
      <c r="K34" s="86">
        <f t="shared" si="15"/>
        <v>373.62599999999998</v>
      </c>
      <c r="L34" s="86"/>
      <c r="M34" s="86">
        <f t="shared" si="16"/>
        <v>0</v>
      </c>
      <c r="N34" s="86">
        <v>0</v>
      </c>
      <c r="O34" s="86">
        <f t="shared" si="17"/>
        <v>0</v>
      </c>
      <c r="P34" s="86">
        <f t="shared" si="18"/>
        <v>373.62599999999998</v>
      </c>
      <c r="R34" s="51"/>
      <c r="S34" s="51"/>
    </row>
    <row r="35" spans="1:19" ht="13.5" customHeight="1" x14ac:dyDescent="0.2">
      <c r="A35" s="27" t="str">
        <f>IF(D35=0,"",1+MAX(A$12:A34))</f>
        <v/>
      </c>
      <c r="B35" s="148"/>
      <c r="C35" s="53"/>
      <c r="D35" s="28"/>
      <c r="E35" s="28"/>
      <c r="F35" s="84"/>
      <c r="G35" s="85"/>
      <c r="H35" s="85"/>
      <c r="I35" s="86"/>
      <c r="J35" s="85"/>
      <c r="K35" s="86"/>
      <c r="L35" s="86"/>
      <c r="M35" s="86"/>
      <c r="N35" s="86"/>
      <c r="O35" s="86"/>
      <c r="P35" s="86"/>
      <c r="R35" s="51"/>
      <c r="S35" s="51"/>
    </row>
    <row r="36" spans="1:19" s="3" customFormat="1" ht="15" customHeight="1" x14ac:dyDescent="0.2">
      <c r="A36" s="27">
        <f>IF(D36=0,"",1+MAX(A$12:A35))</f>
        <v>18</v>
      </c>
      <c r="B36" s="148"/>
      <c r="C36" s="53" t="s">
        <v>74</v>
      </c>
      <c r="D36" s="28">
        <v>82.15</v>
      </c>
      <c r="E36" s="28" t="s">
        <v>55</v>
      </c>
      <c r="F36" s="84">
        <v>0.1</v>
      </c>
      <c r="G36" s="85">
        <f t="shared" ref="G36:G38" si="19">(F36*D36)+D36</f>
        <v>90.365000000000009</v>
      </c>
      <c r="H36" s="85">
        <v>0.69652500000000006</v>
      </c>
      <c r="I36" s="86">
        <v>77.19</v>
      </c>
      <c r="J36" s="85">
        <f t="shared" ref="J36:J38" si="20">H36*G36</f>
        <v>62.941481625000009</v>
      </c>
      <c r="K36" s="86">
        <f t="shared" ref="K36:K38" si="21">I36*J36</f>
        <v>4858.4529666337503</v>
      </c>
      <c r="L36" s="86">
        <v>33.041000000000004</v>
      </c>
      <c r="M36" s="86">
        <f t="shared" ref="M36:M38" si="22">L36*G36</f>
        <v>2985.7499650000004</v>
      </c>
      <c r="N36" s="86">
        <v>0</v>
      </c>
      <c r="O36" s="86">
        <f t="shared" ref="O36:O38" si="23">N36*G36</f>
        <v>0</v>
      </c>
      <c r="P36" s="86">
        <f t="shared" ref="P36:P38" si="24">IF(D36="","",(K36+M36+O36))</f>
        <v>7844.2029316337503</v>
      </c>
    </row>
    <row r="37" spans="1:19" ht="13.5" customHeight="1" x14ac:dyDescent="0.2">
      <c r="A37" s="27">
        <f>IF(D37=0,"",1+MAX(A$12:A36))</f>
        <v>19</v>
      </c>
      <c r="B37" s="148"/>
      <c r="C37" s="53" t="s">
        <v>71</v>
      </c>
      <c r="D37" s="28">
        <f>82*3*5/27</f>
        <v>45.555555555555557</v>
      </c>
      <c r="E37" s="28" t="s">
        <v>72</v>
      </c>
      <c r="F37" s="84">
        <v>0.1</v>
      </c>
      <c r="G37" s="85">
        <f t="shared" si="19"/>
        <v>50.111111111111114</v>
      </c>
      <c r="H37" s="85">
        <v>0.59917087705661354</v>
      </c>
      <c r="I37" s="86">
        <v>77.19</v>
      </c>
      <c r="J37" s="85">
        <f t="shared" si="20"/>
        <v>30.025118394725858</v>
      </c>
      <c r="K37" s="86">
        <f t="shared" si="21"/>
        <v>2317.6388888888891</v>
      </c>
      <c r="L37" s="86"/>
      <c r="M37" s="86">
        <f t="shared" si="22"/>
        <v>0</v>
      </c>
      <c r="N37" s="86">
        <v>0</v>
      </c>
      <c r="O37" s="86">
        <f t="shared" si="23"/>
        <v>0</v>
      </c>
      <c r="P37" s="86">
        <f t="shared" si="24"/>
        <v>2317.6388888888891</v>
      </c>
      <c r="R37" s="51"/>
      <c r="S37" s="51"/>
    </row>
    <row r="38" spans="1:19" ht="13.5" customHeight="1" x14ac:dyDescent="0.2">
      <c r="A38" s="27">
        <f>IF(D38=0,"",1+MAX(A$12:A37))</f>
        <v>20</v>
      </c>
      <c r="B38" s="148"/>
      <c r="C38" s="53" t="s">
        <v>73</v>
      </c>
      <c r="D38" s="28">
        <v>41.83</v>
      </c>
      <c r="E38" s="28" t="s">
        <v>72</v>
      </c>
      <c r="F38" s="84">
        <v>0.1</v>
      </c>
      <c r="G38" s="85">
        <f t="shared" si="19"/>
        <v>46.012999999999998</v>
      </c>
      <c r="H38" s="85">
        <v>0.43140303148076181</v>
      </c>
      <c r="I38" s="86">
        <v>77.19</v>
      </c>
      <c r="J38" s="85">
        <f t="shared" si="20"/>
        <v>19.850147687524291</v>
      </c>
      <c r="K38" s="86">
        <f t="shared" si="21"/>
        <v>1532.2329</v>
      </c>
      <c r="L38" s="86"/>
      <c r="M38" s="86">
        <f t="shared" si="22"/>
        <v>0</v>
      </c>
      <c r="N38" s="86">
        <v>0</v>
      </c>
      <c r="O38" s="86">
        <f t="shared" si="23"/>
        <v>0</v>
      </c>
      <c r="P38" s="86">
        <f t="shared" si="24"/>
        <v>1532.2329</v>
      </c>
      <c r="R38" s="51"/>
      <c r="S38" s="51"/>
    </row>
    <row r="39" spans="1:19" ht="13.5" customHeight="1" x14ac:dyDescent="0.2">
      <c r="A39" s="27" t="str">
        <f>IF(D39=0,"",1+MAX(A$12:A38))</f>
        <v/>
      </c>
      <c r="B39" s="148"/>
      <c r="C39" s="53"/>
      <c r="D39" s="28"/>
      <c r="E39" s="28"/>
      <c r="F39" s="84"/>
      <c r="G39" s="85"/>
      <c r="H39" s="85"/>
      <c r="I39" s="86"/>
      <c r="J39" s="85"/>
      <c r="K39" s="86"/>
      <c r="L39" s="86"/>
      <c r="M39" s="86"/>
      <c r="N39" s="86"/>
      <c r="O39" s="86"/>
      <c r="P39" s="86"/>
      <c r="R39" s="51"/>
      <c r="S39" s="51"/>
    </row>
    <row r="40" spans="1:19" ht="13.5" customHeight="1" x14ac:dyDescent="0.2">
      <c r="A40" s="27" t="str">
        <f>IF(D40=0,"",1+MAX(A$12:A39))</f>
        <v/>
      </c>
      <c r="B40" s="148"/>
      <c r="C40" s="77" t="s">
        <v>75</v>
      </c>
      <c r="D40" s="28"/>
      <c r="E40" s="28"/>
      <c r="F40" s="84"/>
      <c r="G40" s="85"/>
      <c r="H40" s="85"/>
      <c r="I40" s="86"/>
      <c r="J40" s="85"/>
      <c r="K40" s="86"/>
      <c r="L40" s="86"/>
      <c r="M40" s="86"/>
      <c r="N40" s="86"/>
      <c r="O40" s="86"/>
      <c r="P40" s="86"/>
      <c r="R40" s="51"/>
      <c r="S40" s="51"/>
    </row>
    <row r="41" spans="1:19" ht="13.5" customHeight="1" x14ac:dyDescent="0.2">
      <c r="A41" s="27">
        <f>IF(D41=0,"",1+MAX(A$12:A40))</f>
        <v>21</v>
      </c>
      <c r="B41" s="148"/>
      <c r="C41" s="53" t="s">
        <v>76</v>
      </c>
      <c r="D41" s="28">
        <v>57.27</v>
      </c>
      <c r="E41" s="28" t="s">
        <v>55</v>
      </c>
      <c r="F41" s="84">
        <v>0.1</v>
      </c>
      <c r="G41" s="85">
        <f t="shared" ref="G41:G43" si="25">(F41*D41)+D41</f>
        <v>62.997</v>
      </c>
      <c r="H41" s="85">
        <v>0.37148000000000003</v>
      </c>
      <c r="I41" s="86">
        <v>77.19</v>
      </c>
      <c r="J41" s="85">
        <f t="shared" ref="J41:J43" si="26">H41*G41</f>
        <v>23.402125560000002</v>
      </c>
      <c r="K41" s="86">
        <f t="shared" ref="K41:K43" si="27">I41*J41</f>
        <v>1806.4100719764001</v>
      </c>
      <c r="L41" s="86">
        <v>30.192000000000004</v>
      </c>
      <c r="M41" s="86">
        <f t="shared" ref="M41:M43" si="28">L41*G41</f>
        <v>1902.0054240000002</v>
      </c>
      <c r="N41" s="86">
        <v>0</v>
      </c>
      <c r="O41" s="86">
        <f t="shared" ref="O41:O43" si="29">N41*G41</f>
        <v>0</v>
      </c>
      <c r="P41" s="86">
        <f t="shared" ref="P41:P43" si="30">IF(D41="","",(K41+M41+O41))</f>
        <v>3708.4154959764001</v>
      </c>
      <c r="R41" s="51"/>
      <c r="S41" s="51"/>
    </row>
    <row r="42" spans="1:19" ht="13.5" customHeight="1" x14ac:dyDescent="0.2">
      <c r="A42" s="27">
        <f>IF(D42=0,"",1+MAX(A$12:A41))</f>
        <v>22</v>
      </c>
      <c r="B42" s="148"/>
      <c r="C42" s="53" t="s">
        <v>71</v>
      </c>
      <c r="D42" s="28">
        <f>57*2*3/27</f>
        <v>12.666666666666666</v>
      </c>
      <c r="E42" s="28" t="s">
        <v>72</v>
      </c>
      <c r="F42" s="84">
        <v>0.1</v>
      </c>
      <c r="G42" s="85">
        <f t="shared" si="25"/>
        <v>13.933333333333334</v>
      </c>
      <c r="H42" s="85">
        <v>0.59917087705661354</v>
      </c>
      <c r="I42" s="86">
        <v>77.19</v>
      </c>
      <c r="J42" s="85">
        <f t="shared" si="26"/>
        <v>8.3484475536554825</v>
      </c>
      <c r="K42" s="86">
        <f t="shared" si="27"/>
        <v>644.41666666666663</v>
      </c>
      <c r="L42" s="86"/>
      <c r="M42" s="86">
        <f t="shared" si="28"/>
        <v>0</v>
      </c>
      <c r="N42" s="86">
        <v>0</v>
      </c>
      <c r="O42" s="86">
        <f t="shared" si="29"/>
        <v>0</v>
      </c>
      <c r="P42" s="86">
        <f t="shared" si="30"/>
        <v>644.41666666666663</v>
      </c>
      <c r="R42" s="51"/>
      <c r="S42" s="51"/>
    </row>
    <row r="43" spans="1:19" ht="13.5" customHeight="1" x14ac:dyDescent="0.2">
      <c r="A43" s="27">
        <f>IF(D43=0,"",1+MAX(A$12:A42))</f>
        <v>23</v>
      </c>
      <c r="B43" s="148"/>
      <c r="C43" s="53" t="s">
        <v>73</v>
      </c>
      <c r="D43" s="28">
        <v>12.616007999999999</v>
      </c>
      <c r="E43" s="28" t="s">
        <v>72</v>
      </c>
      <c r="F43" s="84">
        <v>0.1</v>
      </c>
      <c r="G43" s="85">
        <f t="shared" si="25"/>
        <v>13.877608799999999</v>
      </c>
      <c r="H43" s="85">
        <v>0.43140303148076181</v>
      </c>
      <c r="I43" s="86">
        <v>77.19</v>
      </c>
      <c r="J43" s="85">
        <f t="shared" si="26"/>
        <v>5.9868425060240966</v>
      </c>
      <c r="K43" s="86">
        <f t="shared" si="27"/>
        <v>462.12437304000002</v>
      </c>
      <c r="L43" s="86"/>
      <c r="M43" s="86">
        <f t="shared" si="28"/>
        <v>0</v>
      </c>
      <c r="N43" s="86">
        <v>0</v>
      </c>
      <c r="O43" s="86">
        <f t="shared" si="29"/>
        <v>0</v>
      </c>
      <c r="P43" s="86">
        <f t="shared" si="30"/>
        <v>462.12437304000002</v>
      </c>
      <c r="R43" s="51"/>
      <c r="S43" s="51"/>
    </row>
    <row r="44" spans="1:19" ht="13.5" customHeight="1" x14ac:dyDescent="0.2">
      <c r="A44" s="27" t="str">
        <f>IF(D44=0,"",1+MAX(A$12:A43))</f>
        <v/>
      </c>
      <c r="B44" s="148"/>
      <c r="C44" s="53"/>
      <c r="D44" s="28"/>
      <c r="E44" s="28"/>
      <c r="F44" s="84"/>
      <c r="G44" s="85"/>
      <c r="H44" s="85"/>
      <c r="I44" s="86"/>
      <c r="J44" s="85"/>
      <c r="K44" s="86"/>
      <c r="L44" s="86"/>
      <c r="M44" s="86"/>
      <c r="N44" s="86"/>
      <c r="O44" s="86"/>
      <c r="P44" s="86"/>
      <c r="R44" s="51"/>
      <c r="S44" s="51"/>
    </row>
    <row r="45" spans="1:19" ht="13.5" customHeight="1" x14ac:dyDescent="0.2">
      <c r="A45" s="27">
        <f>IF(D45=0,"",1+MAX(A$12:A44))</f>
        <v>24</v>
      </c>
      <c r="B45" s="148"/>
      <c r="C45" s="53" t="s">
        <v>77</v>
      </c>
      <c r="D45" s="28">
        <v>4.0199999999999996</v>
      </c>
      <c r="E45" s="28" t="s">
        <v>55</v>
      </c>
      <c r="F45" s="84">
        <v>0.1</v>
      </c>
      <c r="G45" s="85">
        <f t="shared" ref="G45:G47" si="31">(F45*D45)+D45</f>
        <v>4.4219999999999997</v>
      </c>
      <c r="H45" s="85">
        <v>0.37148000000000003</v>
      </c>
      <c r="I45" s="86">
        <v>77.19</v>
      </c>
      <c r="J45" s="85">
        <f t="shared" ref="J45:J47" si="32">H45*G45</f>
        <v>1.64268456</v>
      </c>
      <c r="K45" s="86">
        <f t="shared" ref="K45:K47" si="33">I45*J45</f>
        <v>126.79882118639999</v>
      </c>
      <c r="L45" s="86">
        <v>24.938000000000002</v>
      </c>
      <c r="M45" s="86">
        <f t="shared" ref="M45:M47" si="34">L45*G45</f>
        <v>110.275836</v>
      </c>
      <c r="N45" s="86">
        <v>0</v>
      </c>
      <c r="O45" s="86">
        <f t="shared" ref="O45:O47" si="35">N45*G45</f>
        <v>0</v>
      </c>
      <c r="P45" s="86">
        <f t="shared" ref="P45:P47" si="36">IF(D45="","",(K45+M45+O45))</f>
        <v>237.07465718639997</v>
      </c>
      <c r="R45" s="51"/>
      <c r="S45" s="51"/>
    </row>
    <row r="46" spans="1:19" ht="13.5" customHeight="1" x14ac:dyDescent="0.2">
      <c r="A46" s="27">
        <f>IF(D46=0,"",1+MAX(A$12:A45))</f>
        <v>25</v>
      </c>
      <c r="B46" s="148"/>
      <c r="C46" s="53" t="s">
        <v>71</v>
      </c>
      <c r="D46" s="28">
        <f>4*2*3/27</f>
        <v>0.88888888888888884</v>
      </c>
      <c r="E46" s="28" t="s">
        <v>72</v>
      </c>
      <c r="F46" s="84">
        <v>0.1</v>
      </c>
      <c r="G46" s="85">
        <f t="shared" si="31"/>
        <v>0.97777777777777775</v>
      </c>
      <c r="H46" s="85">
        <v>0.59917087705661354</v>
      </c>
      <c r="I46" s="86">
        <v>77.19</v>
      </c>
      <c r="J46" s="85">
        <f t="shared" si="32"/>
        <v>0.58585596867757761</v>
      </c>
      <c r="K46" s="86">
        <f t="shared" si="33"/>
        <v>45.222222222222214</v>
      </c>
      <c r="L46" s="86"/>
      <c r="M46" s="86">
        <f t="shared" si="34"/>
        <v>0</v>
      </c>
      <c r="N46" s="86">
        <v>0</v>
      </c>
      <c r="O46" s="86">
        <f t="shared" si="35"/>
        <v>0</v>
      </c>
      <c r="P46" s="86">
        <f t="shared" si="36"/>
        <v>45.222222222222214</v>
      </c>
      <c r="R46" s="51"/>
      <c r="S46" s="51"/>
    </row>
    <row r="47" spans="1:19" ht="13.5" customHeight="1" x14ac:dyDescent="0.2">
      <c r="A47" s="27">
        <f>IF(D47=0,"",1+MAX(A$12:A46))</f>
        <v>26</v>
      </c>
      <c r="B47" s="148"/>
      <c r="C47" s="53" t="s">
        <v>73</v>
      </c>
      <c r="D47" s="28">
        <v>0.83819999999999995</v>
      </c>
      <c r="E47" s="28" t="s">
        <v>72</v>
      </c>
      <c r="F47" s="84">
        <v>0.1</v>
      </c>
      <c r="G47" s="85">
        <f t="shared" si="31"/>
        <v>0.92201999999999995</v>
      </c>
      <c r="H47" s="85">
        <v>0.43140303148076181</v>
      </c>
      <c r="I47" s="86">
        <v>77.19</v>
      </c>
      <c r="J47" s="85">
        <f t="shared" si="32"/>
        <v>0.39776222308589199</v>
      </c>
      <c r="K47" s="86">
        <f t="shared" si="33"/>
        <v>30.703266000000003</v>
      </c>
      <c r="L47" s="86"/>
      <c r="M47" s="86">
        <f t="shared" si="34"/>
        <v>0</v>
      </c>
      <c r="N47" s="86">
        <v>0</v>
      </c>
      <c r="O47" s="86">
        <f t="shared" si="35"/>
        <v>0</v>
      </c>
      <c r="P47" s="86">
        <f t="shared" si="36"/>
        <v>30.703266000000003</v>
      </c>
      <c r="R47" s="51"/>
      <c r="S47" s="51"/>
    </row>
    <row r="48" spans="1:19" ht="13.5" customHeight="1" x14ac:dyDescent="0.2">
      <c r="A48" s="27" t="str">
        <f>IF(D48=0,"",1+MAX(A$12:A47))</f>
        <v/>
      </c>
      <c r="B48" s="148"/>
      <c r="C48" s="53"/>
      <c r="D48" s="28"/>
      <c r="E48" s="28"/>
      <c r="F48" s="84"/>
      <c r="G48" s="85"/>
      <c r="H48" s="85"/>
      <c r="I48" s="86"/>
      <c r="J48" s="85"/>
      <c r="K48" s="86"/>
      <c r="L48" s="86"/>
      <c r="M48" s="86"/>
      <c r="N48" s="86"/>
      <c r="O48" s="86"/>
      <c r="P48" s="86"/>
      <c r="R48" s="51"/>
      <c r="S48" s="51"/>
    </row>
    <row r="49" spans="1:19" ht="13.5" customHeight="1" x14ac:dyDescent="0.2">
      <c r="A49" s="27">
        <f>IF(D49=0,"",1+MAX(A$12:A48))</f>
        <v>27</v>
      </c>
      <c r="B49" s="148"/>
      <c r="C49" s="53" t="s">
        <v>78</v>
      </c>
      <c r="D49" s="28">
        <v>123.51</v>
      </c>
      <c r="E49" s="28" t="s">
        <v>55</v>
      </c>
      <c r="F49" s="84">
        <v>0.1</v>
      </c>
      <c r="G49" s="85">
        <f t="shared" ref="G49:G51" si="37">(F49*D49)+D49</f>
        <v>135.86100000000002</v>
      </c>
      <c r="H49" s="85">
        <v>0.27861000000000002</v>
      </c>
      <c r="I49" s="86">
        <v>77.19</v>
      </c>
      <c r="J49" s="85">
        <f t="shared" ref="J49:J51" si="38">H49*G49</f>
        <v>37.852233210000009</v>
      </c>
      <c r="K49" s="86">
        <f t="shared" ref="K49:K51" si="39">I49*J49</f>
        <v>2921.8138814799004</v>
      </c>
      <c r="L49" s="86">
        <v>19.943000000000001</v>
      </c>
      <c r="M49" s="86">
        <f t="shared" ref="M49:M51" si="40">L49*G49</f>
        <v>2709.4759230000004</v>
      </c>
      <c r="N49" s="86">
        <v>0</v>
      </c>
      <c r="O49" s="86">
        <f t="shared" ref="O49:O51" si="41">N49*G49</f>
        <v>0</v>
      </c>
      <c r="P49" s="86">
        <f t="shared" ref="P49:P51" si="42">IF(D49="","",(K49+M49+O49))</f>
        <v>5631.2898044799003</v>
      </c>
      <c r="R49" s="51"/>
      <c r="S49" s="51"/>
    </row>
    <row r="50" spans="1:19" ht="13.5" customHeight="1" x14ac:dyDescent="0.2">
      <c r="A50" s="27">
        <f>IF(D50=0,"",1+MAX(A$12:A49))</f>
        <v>28</v>
      </c>
      <c r="B50" s="148"/>
      <c r="C50" s="53" t="s">
        <v>71</v>
      </c>
      <c r="D50" s="28">
        <f>124*1.5*3/27</f>
        <v>20.666666666666668</v>
      </c>
      <c r="E50" s="28" t="s">
        <v>72</v>
      </c>
      <c r="F50" s="84">
        <v>0.1</v>
      </c>
      <c r="G50" s="85">
        <f t="shared" si="37"/>
        <v>22.733333333333334</v>
      </c>
      <c r="H50" s="85">
        <v>0.59917087705661354</v>
      </c>
      <c r="I50" s="86">
        <v>77.19</v>
      </c>
      <c r="J50" s="85">
        <f t="shared" si="38"/>
        <v>13.621151271753682</v>
      </c>
      <c r="K50" s="86">
        <f t="shared" si="39"/>
        <v>1051.4166666666667</v>
      </c>
      <c r="L50" s="86"/>
      <c r="M50" s="86">
        <f t="shared" si="40"/>
        <v>0</v>
      </c>
      <c r="N50" s="86">
        <v>0</v>
      </c>
      <c r="O50" s="86">
        <f t="shared" si="41"/>
        <v>0</v>
      </c>
      <c r="P50" s="86">
        <f t="shared" si="42"/>
        <v>1051.4166666666667</v>
      </c>
      <c r="R50" s="51"/>
      <c r="S50" s="51"/>
    </row>
    <row r="51" spans="1:19" ht="13.5" customHeight="1" x14ac:dyDescent="0.2">
      <c r="A51" s="27">
        <f>IF(D51=0,"",1+MAX(A$12:A50))</f>
        <v>29</v>
      </c>
      <c r="B51" s="148"/>
      <c r="C51" s="53" t="s">
        <v>73</v>
      </c>
      <c r="D51" s="28">
        <v>19.76537037037037</v>
      </c>
      <c r="E51" s="28" t="s">
        <v>72</v>
      </c>
      <c r="F51" s="84">
        <v>0.1</v>
      </c>
      <c r="G51" s="85">
        <f t="shared" si="37"/>
        <v>21.741907407407407</v>
      </c>
      <c r="H51" s="85">
        <v>0.43140303148076181</v>
      </c>
      <c r="I51" s="86">
        <v>77.19</v>
      </c>
      <c r="J51" s="85">
        <f t="shared" si="38"/>
        <v>9.3795247657295864</v>
      </c>
      <c r="K51" s="86">
        <f t="shared" si="39"/>
        <v>724.00551666666672</v>
      </c>
      <c r="L51" s="86"/>
      <c r="M51" s="86">
        <f t="shared" si="40"/>
        <v>0</v>
      </c>
      <c r="N51" s="86">
        <v>0</v>
      </c>
      <c r="O51" s="86">
        <f t="shared" si="41"/>
        <v>0</v>
      </c>
      <c r="P51" s="86">
        <f t="shared" si="42"/>
        <v>724.00551666666672</v>
      </c>
      <c r="R51" s="51"/>
      <c r="S51" s="51"/>
    </row>
    <row r="52" spans="1:19" ht="13.5" customHeight="1" x14ac:dyDescent="0.2">
      <c r="A52" s="27" t="str">
        <f>IF(D52=0,"",1+MAX(A$12:A51))</f>
        <v/>
      </c>
      <c r="B52" s="148"/>
      <c r="C52" s="77" t="s">
        <v>79</v>
      </c>
      <c r="D52" s="28"/>
      <c r="E52" s="28"/>
      <c r="F52" s="84"/>
      <c r="G52" s="85"/>
      <c r="H52" s="85"/>
      <c r="I52" s="86"/>
      <c r="J52" s="85"/>
      <c r="K52" s="86"/>
      <c r="L52" s="86"/>
      <c r="M52" s="86"/>
      <c r="N52" s="86"/>
      <c r="O52" s="86"/>
      <c r="P52" s="86"/>
      <c r="R52" s="51"/>
      <c r="S52" s="51"/>
    </row>
    <row r="53" spans="1:19" ht="13.5" customHeight="1" x14ac:dyDescent="0.2">
      <c r="A53" s="27">
        <f>IF(D53=0,"",1+MAX(A$12:A52))</f>
        <v>30</v>
      </c>
      <c r="B53" s="148"/>
      <c r="C53" s="53" t="s">
        <v>80</v>
      </c>
      <c r="D53" s="28">
        <v>2</v>
      </c>
      <c r="E53" s="28" t="s">
        <v>54</v>
      </c>
      <c r="F53" s="84">
        <v>0</v>
      </c>
      <c r="G53" s="85">
        <f>(F53*D53)+D53</f>
        <v>2</v>
      </c>
      <c r="H53" s="85">
        <v>6.3515124999999992</v>
      </c>
      <c r="I53" s="86">
        <v>77.19</v>
      </c>
      <c r="J53" s="85">
        <f>H53*G53</f>
        <v>12.703024999999998</v>
      </c>
      <c r="K53" s="86">
        <f>I53*J53</f>
        <v>980.54649974999984</v>
      </c>
      <c r="L53" s="86">
        <v>423.95987499999995</v>
      </c>
      <c r="M53" s="86">
        <f>L53*G53</f>
        <v>847.91974999999991</v>
      </c>
      <c r="N53" s="86">
        <v>0</v>
      </c>
      <c r="O53" s="86">
        <f>N53*G53</f>
        <v>0</v>
      </c>
      <c r="P53" s="86">
        <f>IF(D53="","",(K53+M53+O53))</f>
        <v>1828.4662497499999</v>
      </c>
      <c r="R53" s="51"/>
      <c r="S53" s="51"/>
    </row>
    <row r="54" spans="1:19" ht="13.5" customHeight="1" x14ac:dyDescent="0.2">
      <c r="A54" s="27">
        <f>IF(D54=0,"",1+MAX(A$12:A53))</f>
        <v>31</v>
      </c>
      <c r="B54" s="148"/>
      <c r="C54" s="53" t="s">
        <v>81</v>
      </c>
      <c r="D54" s="28">
        <v>2</v>
      </c>
      <c r="E54" s="28" t="s">
        <v>54</v>
      </c>
      <c r="F54" s="84">
        <v>0</v>
      </c>
      <c r="G54" s="85">
        <f>(F54*D54)+D54</f>
        <v>2</v>
      </c>
      <c r="H54" s="85">
        <v>5.7235300000000002</v>
      </c>
      <c r="I54" s="86">
        <v>77.19</v>
      </c>
      <c r="J54" s="85">
        <f>H54*G54</f>
        <v>11.44706</v>
      </c>
      <c r="K54" s="86">
        <f>I54*J54</f>
        <v>883.59856139999999</v>
      </c>
      <c r="L54" s="86">
        <v>345.96387500000003</v>
      </c>
      <c r="M54" s="86">
        <f>L54*G54</f>
        <v>691.92775000000006</v>
      </c>
      <c r="N54" s="86">
        <v>0</v>
      </c>
      <c r="O54" s="86">
        <f>N54*G54</f>
        <v>0</v>
      </c>
      <c r="P54" s="86">
        <f>IF(D54="","",(K54+M54+O54))</f>
        <v>1575.5263113999999</v>
      </c>
      <c r="R54" s="51"/>
      <c r="S54" s="51"/>
    </row>
    <row r="55" spans="1:19" ht="13.5" customHeight="1" x14ac:dyDescent="0.2">
      <c r="A55" s="27">
        <f>IF(D55=0,"",1+MAX(A$12:A54))</f>
        <v>32</v>
      </c>
      <c r="B55" s="148"/>
      <c r="C55" s="53" t="s">
        <v>82</v>
      </c>
      <c r="D55" s="28">
        <v>1</v>
      </c>
      <c r="E55" s="28" t="s">
        <v>54</v>
      </c>
      <c r="F55" s="84">
        <v>0</v>
      </c>
      <c r="G55" s="85">
        <f>(F55*D55)+D55</f>
        <v>1</v>
      </c>
      <c r="H55" s="85">
        <v>15.690960000000002</v>
      </c>
      <c r="I55" s="86">
        <v>77.19</v>
      </c>
      <c r="J55" s="85">
        <f>H55*G55</f>
        <v>15.690960000000002</v>
      </c>
      <c r="K55" s="86">
        <f>I55*J55</f>
        <v>1211.1852024000002</v>
      </c>
      <c r="L55" s="86">
        <v>1686.2907250000003</v>
      </c>
      <c r="M55" s="86">
        <f>L55*G55</f>
        <v>1686.2907250000003</v>
      </c>
      <c r="N55" s="86">
        <v>0</v>
      </c>
      <c r="O55" s="86">
        <f>N55*G55</f>
        <v>0</v>
      </c>
      <c r="P55" s="86">
        <f>IF(D55="","",(K55+M55+O55))</f>
        <v>2897.4759274000007</v>
      </c>
      <c r="R55" s="51"/>
      <c r="S55" s="51"/>
    </row>
    <row r="56" spans="1:19" ht="13.5" customHeight="1" x14ac:dyDescent="0.2">
      <c r="A56" s="27">
        <f>IF(D56=0,"",1+MAX(A$12:A55))</f>
        <v>33</v>
      </c>
      <c r="B56" s="148"/>
      <c r="C56" s="53" t="s">
        <v>83</v>
      </c>
      <c r="D56" s="28">
        <v>2</v>
      </c>
      <c r="E56" s="28" t="s">
        <v>54</v>
      </c>
      <c r="F56" s="84">
        <v>0</v>
      </c>
      <c r="G56" s="85">
        <f>(F56*D56)+D56</f>
        <v>2</v>
      </c>
      <c r="H56" s="85">
        <v>5.3048750000000009</v>
      </c>
      <c r="I56" s="86">
        <v>77.19</v>
      </c>
      <c r="J56" s="85">
        <f>H56*G56</f>
        <v>10.609750000000002</v>
      </c>
      <c r="K56" s="86">
        <f>I56*J56</f>
        <v>818.96660250000014</v>
      </c>
      <c r="L56" s="86">
        <v>332.19987500000002</v>
      </c>
      <c r="M56" s="86">
        <f>L56*G56</f>
        <v>664.39975000000004</v>
      </c>
      <c r="N56" s="86">
        <v>0</v>
      </c>
      <c r="O56" s="86">
        <f>N56*G56</f>
        <v>0</v>
      </c>
      <c r="P56" s="86">
        <f>IF(D56="","",(K56+M56+O56))</f>
        <v>1483.3663525000002</v>
      </c>
      <c r="R56" s="51"/>
      <c r="S56" s="51"/>
    </row>
    <row r="57" spans="1:19" ht="13.5" customHeight="1" x14ac:dyDescent="0.2">
      <c r="A57" s="27" t="str">
        <f>IF(D57=0,"",1+MAX(A$12:A56))</f>
        <v/>
      </c>
      <c r="B57" s="148"/>
      <c r="C57" s="77" t="s">
        <v>84</v>
      </c>
      <c r="D57" s="28"/>
      <c r="E57" s="28"/>
      <c r="F57" s="84"/>
      <c r="G57" s="85"/>
      <c r="H57" s="85"/>
      <c r="I57" s="86"/>
      <c r="J57" s="85"/>
      <c r="K57" s="86"/>
      <c r="L57" s="86"/>
      <c r="M57" s="86"/>
      <c r="N57" s="86"/>
      <c r="O57" s="86"/>
      <c r="P57" s="86"/>
      <c r="R57" s="51"/>
      <c r="S57" s="51"/>
    </row>
    <row r="58" spans="1:19" ht="13.5" customHeight="1" x14ac:dyDescent="0.2">
      <c r="A58" s="27">
        <f>IF(D58=0,"",1+MAX(A$12:A57))</f>
        <v>34</v>
      </c>
      <c r="B58" s="148"/>
      <c r="C58" s="53" t="s">
        <v>84</v>
      </c>
      <c r="D58" s="28">
        <v>58.21</v>
      </c>
      <c r="E58" s="28" t="s">
        <v>55</v>
      </c>
      <c r="F58" s="84">
        <v>0.1</v>
      </c>
      <c r="G58" s="85">
        <f t="shared" ref="G58:G60" si="43">(F58*D58)+D58</f>
        <v>64.031000000000006</v>
      </c>
      <c r="H58" s="85">
        <v>0.69930000000000003</v>
      </c>
      <c r="I58" s="86">
        <v>77.19</v>
      </c>
      <c r="J58" s="85">
        <f t="shared" ref="J58:J60" si="44">H58*G58</f>
        <v>44.776878300000007</v>
      </c>
      <c r="K58" s="86">
        <f t="shared" ref="K58:K60" si="45">I58*J58</f>
        <v>3456.3272359770003</v>
      </c>
      <c r="L58" s="86">
        <v>30.506499999999999</v>
      </c>
      <c r="M58" s="86">
        <f t="shared" ref="M58:M60" si="46">L58*G58</f>
        <v>1953.3617015000002</v>
      </c>
      <c r="N58" s="86">
        <v>0</v>
      </c>
      <c r="O58" s="86">
        <f t="shared" ref="O58:O60" si="47">N58*G58</f>
        <v>0</v>
      </c>
      <c r="P58" s="86">
        <f t="shared" ref="P58:P60" si="48">IF(D58="","",(K58+M58+O58))</f>
        <v>5409.6889374770008</v>
      </c>
      <c r="R58" s="51"/>
      <c r="S58" s="51"/>
    </row>
    <row r="59" spans="1:19" ht="13.5" customHeight="1" x14ac:dyDescent="0.2">
      <c r="A59" s="27">
        <f>IF(D59=0,"",1+MAX(A$12:A58))</f>
        <v>35</v>
      </c>
      <c r="B59" s="148"/>
      <c r="C59" s="53" t="s">
        <v>71</v>
      </c>
      <c r="D59" s="28">
        <f>13.15*3.5*58/27</f>
        <v>98.868518518518513</v>
      </c>
      <c r="E59" s="28" t="s">
        <v>72</v>
      </c>
      <c r="F59" s="84">
        <v>0.1</v>
      </c>
      <c r="G59" s="85">
        <f t="shared" si="43"/>
        <v>108.75537037037037</v>
      </c>
      <c r="H59" s="85">
        <v>0.59917087705661354</v>
      </c>
      <c r="I59" s="86">
        <v>77.19</v>
      </c>
      <c r="J59" s="85">
        <f t="shared" si="44"/>
        <v>65.163050649431653</v>
      </c>
      <c r="K59" s="86">
        <f t="shared" si="45"/>
        <v>5029.9358796296292</v>
      </c>
      <c r="L59" s="86"/>
      <c r="M59" s="86">
        <f t="shared" si="46"/>
        <v>0</v>
      </c>
      <c r="N59" s="86">
        <v>0</v>
      </c>
      <c r="O59" s="86">
        <f t="shared" si="47"/>
        <v>0</v>
      </c>
      <c r="P59" s="86">
        <f t="shared" si="48"/>
        <v>5029.9358796296292</v>
      </c>
      <c r="R59" s="51"/>
      <c r="S59" s="51"/>
    </row>
    <row r="60" spans="1:19" ht="13.5" customHeight="1" x14ac:dyDescent="0.2">
      <c r="A60" s="27">
        <f>IF(D60=0,"",1+MAX(A$12:A59))</f>
        <v>36</v>
      </c>
      <c r="B60" s="148"/>
      <c r="C60" s="53" t="s">
        <v>73</v>
      </c>
      <c r="D60" s="28">
        <v>95.142962962962955</v>
      </c>
      <c r="E60" s="28" t="s">
        <v>72</v>
      </c>
      <c r="F60" s="84">
        <v>0.1</v>
      </c>
      <c r="G60" s="85">
        <f t="shared" si="43"/>
        <v>104.65725925925925</v>
      </c>
      <c r="H60" s="85">
        <v>0.43140303148076181</v>
      </c>
      <c r="I60" s="86">
        <v>77.19</v>
      </c>
      <c r="J60" s="85">
        <f t="shared" si="44"/>
        <v>45.149458910912465</v>
      </c>
      <c r="K60" s="86">
        <f t="shared" si="45"/>
        <v>3485.0867333333331</v>
      </c>
      <c r="L60" s="86"/>
      <c r="M60" s="86">
        <f t="shared" si="46"/>
        <v>0</v>
      </c>
      <c r="N60" s="86">
        <v>0</v>
      </c>
      <c r="O60" s="86">
        <f t="shared" si="47"/>
        <v>0</v>
      </c>
      <c r="P60" s="86">
        <f t="shared" si="48"/>
        <v>3485.0867333333331</v>
      </c>
      <c r="R60" s="51"/>
      <c r="S60" s="51"/>
    </row>
    <row r="61" spans="1:19" ht="13.5" customHeight="1" x14ac:dyDescent="0.2">
      <c r="A61" s="27" t="str">
        <f>IF(D61=0,"",1+MAX(A$12:A60))</f>
        <v/>
      </c>
      <c r="B61" s="148"/>
      <c r="C61" s="77" t="s">
        <v>85</v>
      </c>
      <c r="D61" s="28"/>
      <c r="E61" s="28"/>
      <c r="F61" s="84"/>
      <c r="G61" s="85"/>
      <c r="H61" s="85"/>
      <c r="I61" s="86"/>
      <c r="J61" s="85"/>
      <c r="K61" s="86"/>
      <c r="L61" s="86"/>
      <c r="M61" s="86"/>
      <c r="N61" s="86"/>
      <c r="O61" s="86"/>
      <c r="P61" s="86"/>
      <c r="R61" s="51"/>
      <c r="S61" s="51"/>
    </row>
    <row r="62" spans="1:19" ht="13.5" customHeight="1" x14ac:dyDescent="0.2">
      <c r="A62" s="27">
        <f>IF(D62=0,"",1+MAX(A$12:A61))</f>
        <v>37</v>
      </c>
      <c r="B62" s="148"/>
      <c r="C62" s="53" t="s">
        <v>86</v>
      </c>
      <c r="D62" s="28">
        <v>2</v>
      </c>
      <c r="E62" s="28" t="s">
        <v>54</v>
      </c>
      <c r="F62" s="84">
        <v>0</v>
      </c>
      <c r="G62" s="85">
        <f>(F62*D62)+D62</f>
        <v>2</v>
      </c>
      <c r="H62" s="85">
        <v>22.790890000000001</v>
      </c>
      <c r="I62" s="86">
        <v>77.19</v>
      </c>
      <c r="J62" s="85">
        <f t="shared" ref="J62" si="49">H62*G62</f>
        <v>45.581780000000002</v>
      </c>
      <c r="K62" s="86">
        <f t="shared" ref="K62" si="50">I62*J62</f>
        <v>3518.4575982000001</v>
      </c>
      <c r="L62" s="86">
        <v>1916.7517000000005</v>
      </c>
      <c r="M62" s="86">
        <f>L62*G62</f>
        <v>3833.503400000001</v>
      </c>
      <c r="N62" s="86">
        <v>0</v>
      </c>
      <c r="O62" s="86">
        <f>N62*G62</f>
        <v>0</v>
      </c>
      <c r="P62" s="86">
        <f>IF(D62="","",(K62+M62+O62))</f>
        <v>7351.9609982000011</v>
      </c>
      <c r="R62" s="51"/>
      <c r="S62" s="51"/>
    </row>
    <row r="63" spans="1:19" ht="13.5" customHeight="1" x14ac:dyDescent="0.2">
      <c r="A63" s="27">
        <f>IF(D63=0,"",1+MAX(A$12:A62))</f>
        <v>38</v>
      </c>
      <c r="B63" s="148"/>
      <c r="C63" s="53" t="s">
        <v>87</v>
      </c>
      <c r="D63" s="28">
        <v>5</v>
      </c>
      <c r="E63" s="28" t="s">
        <v>54</v>
      </c>
      <c r="F63" s="84">
        <v>0</v>
      </c>
      <c r="G63" s="85">
        <f>(F63*D63)+D63</f>
        <v>5</v>
      </c>
      <c r="H63" s="85">
        <v>7.9831200000000004</v>
      </c>
      <c r="I63" s="86">
        <v>77.19</v>
      </c>
      <c r="J63" s="85">
        <f>H63*G63</f>
        <v>39.915600000000005</v>
      </c>
      <c r="K63" s="86">
        <f>I63*J63</f>
        <v>3081.0851640000001</v>
      </c>
      <c r="L63" s="86">
        <v>501.52575000000002</v>
      </c>
      <c r="M63" s="86">
        <f>L63*G63</f>
        <v>2507.6287499999999</v>
      </c>
      <c r="N63" s="86">
        <v>0</v>
      </c>
      <c r="O63" s="86">
        <f>N63*G63</f>
        <v>0</v>
      </c>
      <c r="P63" s="86">
        <f>IF(D63="","",(K63+M63+O63))</f>
        <v>5588.7139139999999</v>
      </c>
      <c r="R63" s="51"/>
      <c r="S63" s="51"/>
    </row>
    <row r="64" spans="1:19" s="3" customFormat="1" ht="18" customHeight="1" x14ac:dyDescent="0.2">
      <c r="A64" s="117" t="str">
        <f>IF(E64=0,"",1+MAX(A34:A63))</f>
        <v/>
      </c>
      <c r="B64" s="118"/>
      <c r="C64" s="119"/>
      <c r="D64" s="120"/>
      <c r="E64" s="120"/>
      <c r="F64" s="120"/>
      <c r="G64" s="121"/>
      <c r="H64" s="120"/>
      <c r="I64" s="120"/>
      <c r="J64" s="120"/>
      <c r="K64" s="120"/>
      <c r="L64" s="120"/>
      <c r="M64" s="120"/>
      <c r="N64" s="120"/>
      <c r="O64" s="120" t="s">
        <v>24</v>
      </c>
      <c r="P64" s="122">
        <f>SUM(P22:P63)</f>
        <v>124945.71794366481</v>
      </c>
    </row>
    <row r="65" spans="1:16" ht="18" customHeight="1" x14ac:dyDescent="0.2">
      <c r="A65" s="140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69"/>
      <c r="O65" s="69"/>
      <c r="P65" s="26"/>
    </row>
    <row r="66" spans="1:16" s="92" customFormat="1" ht="20.100000000000001" customHeight="1" x14ac:dyDescent="0.2">
      <c r="A66" s="144" t="s">
        <v>12</v>
      </c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15"/>
      <c r="P66" s="116">
        <f>SUM(P11:P65)/2</f>
        <v>139726.79637640034</v>
      </c>
    </row>
    <row r="67" spans="1:16" s="92" customFormat="1" ht="20.100000000000001" customHeight="1" x14ac:dyDescent="0.2">
      <c r="A67" s="144" t="s">
        <v>20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15">
        <v>0.2</v>
      </c>
      <c r="P67" s="116">
        <f>$P$66*O67</f>
        <v>27945.359275280069</v>
      </c>
    </row>
    <row r="68" spans="1:16" s="92" customFormat="1" ht="20.100000000000001" customHeight="1" x14ac:dyDescent="0.2">
      <c r="A68" s="144" t="s">
        <v>5</v>
      </c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15">
        <v>0.03</v>
      </c>
      <c r="P68" s="116">
        <f>$P$66*O68</f>
        <v>4191.8038912920101</v>
      </c>
    </row>
    <row r="69" spans="1:16" s="92" customFormat="1" ht="20.100000000000001" customHeight="1" x14ac:dyDescent="0.2">
      <c r="A69" s="144" t="s">
        <v>18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15">
        <v>0.05</v>
      </c>
      <c r="P69" s="116">
        <f>$P$66*O69</f>
        <v>6986.3398188200172</v>
      </c>
    </row>
    <row r="70" spans="1:16" s="3" customFormat="1" ht="20.100000000000001" customHeight="1" x14ac:dyDescent="0.2">
      <c r="A70" s="142" t="s">
        <v>13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23"/>
      <c r="O70" s="123"/>
      <c r="P70" s="124">
        <f>SUM(P66:P69)</f>
        <v>178850.29936179242</v>
      </c>
    </row>
    <row r="71" spans="1:16" ht="20.100000000000001" customHeight="1" x14ac:dyDescent="0.2">
      <c r="A71" s="67" t="s">
        <v>39</v>
      </c>
      <c r="B71" s="11"/>
      <c r="C71" s="30"/>
      <c r="D71" s="31"/>
      <c r="E71" s="30"/>
      <c r="F71" s="31"/>
      <c r="G71" s="48"/>
      <c r="H71" s="30"/>
      <c r="I71" s="30"/>
      <c r="J71" s="30"/>
      <c r="K71" s="30"/>
      <c r="L71" s="30"/>
      <c r="M71" s="30"/>
      <c r="N71" s="30"/>
      <c r="O71" s="30"/>
      <c r="P71" s="32"/>
    </row>
    <row r="72" spans="1:16" ht="30" customHeight="1" x14ac:dyDescent="0.2">
      <c r="A72" s="63"/>
      <c r="B72" s="136" t="s">
        <v>57</v>
      </c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52"/>
    </row>
    <row r="73" spans="1:16" ht="20.100000000000001" customHeight="1" x14ac:dyDescent="0.2">
      <c r="A73" s="63"/>
      <c r="B73" s="64"/>
      <c r="C73" s="65"/>
      <c r="D73" s="66"/>
      <c r="E73" s="30"/>
      <c r="F73" s="31"/>
      <c r="G73" s="48"/>
      <c r="H73" s="30"/>
      <c r="I73" s="30"/>
      <c r="J73" s="30"/>
      <c r="K73" s="30"/>
      <c r="L73" s="30"/>
      <c r="M73" s="30"/>
      <c r="N73" s="30"/>
      <c r="O73" s="30"/>
      <c r="P73" s="32"/>
    </row>
    <row r="74" spans="1:16" ht="20.100000000000001" customHeight="1" x14ac:dyDescent="0.2">
      <c r="A74" s="63"/>
      <c r="C74" s="70" t="s">
        <v>41</v>
      </c>
      <c r="D74" s="7"/>
      <c r="F74" s="30"/>
      <c r="G74" s="30"/>
      <c r="H74" s="30"/>
      <c r="M74" s="70" t="s">
        <v>42</v>
      </c>
      <c r="N74" s="31"/>
      <c r="O74" s="30"/>
      <c r="P74" s="32"/>
    </row>
    <row r="75" spans="1:16" ht="19.7" customHeight="1" x14ac:dyDescent="0.2">
      <c r="A75" s="71"/>
      <c r="B75" s="7">
        <v>1</v>
      </c>
      <c r="C75" s="72" t="s">
        <v>43</v>
      </c>
      <c r="D75" s="7"/>
      <c r="F75" s="30"/>
      <c r="G75" s="30"/>
      <c r="H75" s="30"/>
      <c r="M75" s="73" t="s">
        <v>51</v>
      </c>
      <c r="N75" s="31"/>
      <c r="O75" s="30"/>
      <c r="P75" s="52"/>
    </row>
    <row r="76" spans="1:16" ht="20.100000000000001" customHeight="1" x14ac:dyDescent="0.2">
      <c r="A76" s="63"/>
      <c r="C76" s="73"/>
      <c r="D76" s="73"/>
      <c r="F76" s="30"/>
      <c r="G76" s="30"/>
      <c r="H76" s="30"/>
      <c r="M76" s="73" t="s">
        <v>44</v>
      </c>
      <c r="N76" s="31"/>
      <c r="O76" s="30"/>
      <c r="P76" s="52"/>
    </row>
    <row r="77" spans="1:16" ht="20.100000000000001" customHeight="1" x14ac:dyDescent="0.2">
      <c r="A77" s="63"/>
      <c r="D77" s="66"/>
      <c r="F77" s="30"/>
      <c r="G77" s="30"/>
      <c r="H77" s="30"/>
      <c r="M77" s="73" t="s">
        <v>45</v>
      </c>
      <c r="N77" s="74"/>
      <c r="O77" s="30"/>
      <c r="P77" s="32"/>
    </row>
    <row r="78" spans="1:16" ht="20.100000000000001" customHeight="1" x14ac:dyDescent="0.2">
      <c r="A78" s="63"/>
      <c r="C78" s="75"/>
      <c r="D78" s="66"/>
      <c r="F78" s="30"/>
      <c r="G78" s="30"/>
      <c r="H78" s="30"/>
      <c r="M78" s="73" t="s">
        <v>46</v>
      </c>
      <c r="N78" s="14"/>
      <c r="O78" s="30"/>
      <c r="P78" s="32"/>
    </row>
    <row r="79" spans="1:16" ht="20.100000000000001" customHeight="1" x14ac:dyDescent="0.2">
      <c r="A79" s="63"/>
      <c r="D79" s="66"/>
      <c r="F79" s="30"/>
      <c r="G79" s="30"/>
      <c r="H79" s="30"/>
      <c r="M79" s="73" t="s">
        <v>47</v>
      </c>
      <c r="N79" s="14"/>
      <c r="O79" s="30"/>
      <c r="P79" s="52"/>
    </row>
    <row r="80" spans="1:16" ht="20.100000000000001" customHeight="1" x14ac:dyDescent="0.2">
      <c r="A80" s="63"/>
      <c r="C80" s="65"/>
      <c r="D80" s="66"/>
      <c r="J80" s="30"/>
      <c r="K80" s="30"/>
      <c r="L80" s="30"/>
      <c r="M80" s="73" t="s">
        <v>48</v>
      </c>
      <c r="N80" s="14"/>
      <c r="O80" s="30"/>
      <c r="P80" s="52"/>
    </row>
    <row r="81" spans="1:16" ht="20.100000000000001" customHeight="1" x14ac:dyDescent="0.2">
      <c r="A81" s="63"/>
      <c r="C81" s="65"/>
      <c r="D81" s="66"/>
      <c r="J81" s="30"/>
      <c r="K81" s="30"/>
      <c r="L81" s="30"/>
      <c r="M81" s="73" t="s">
        <v>49</v>
      </c>
      <c r="N81" s="14"/>
      <c r="O81" s="30"/>
      <c r="P81" s="32"/>
    </row>
    <row r="82" spans="1:16" ht="20.100000000000001" customHeight="1" x14ac:dyDescent="0.2">
      <c r="A82" s="63"/>
      <c r="C82" s="65"/>
      <c r="D82" s="66"/>
      <c r="J82" s="30"/>
      <c r="K82" s="30"/>
      <c r="L82" s="30"/>
      <c r="M82" s="73" t="s">
        <v>50</v>
      </c>
      <c r="N82" s="14"/>
      <c r="O82" s="30"/>
      <c r="P82" s="32"/>
    </row>
    <row r="83" spans="1:16" ht="15.75" customHeight="1" x14ac:dyDescent="0.2">
      <c r="A83" s="63"/>
      <c r="B83" s="64"/>
      <c r="C83" s="65"/>
      <c r="D83" s="66"/>
      <c r="E83" s="30"/>
      <c r="F83" s="31"/>
      <c r="G83" s="48"/>
      <c r="H83" s="30"/>
      <c r="I83" s="30"/>
      <c r="J83" s="30"/>
      <c r="K83" s="30"/>
      <c r="L83" s="30"/>
      <c r="M83" s="30"/>
      <c r="N83" s="30"/>
      <c r="O83" s="30"/>
      <c r="P83" s="52"/>
    </row>
    <row r="84" spans="1:16" ht="15.75" customHeight="1" thickBot="1" x14ac:dyDescent="0.25">
      <c r="A84" s="12"/>
      <c r="B84" s="13"/>
      <c r="C84" s="33"/>
      <c r="D84" s="34"/>
      <c r="E84" s="33"/>
      <c r="F84" s="34"/>
      <c r="G84" s="49"/>
      <c r="H84" s="33"/>
      <c r="I84" s="33"/>
      <c r="J84" s="33"/>
      <c r="K84" s="33"/>
      <c r="L84" s="33"/>
      <c r="M84" s="33"/>
      <c r="N84" s="33"/>
      <c r="O84" s="33"/>
      <c r="P84" s="35"/>
    </row>
  </sheetData>
  <mergeCells count="22">
    <mergeCell ref="K3:L3"/>
    <mergeCell ref="M3:N3"/>
    <mergeCell ref="M4:N4"/>
    <mergeCell ref="K4:L4"/>
    <mergeCell ref="K7:L7"/>
    <mergeCell ref="K6:L6"/>
    <mergeCell ref="K5:L5"/>
    <mergeCell ref="B72:O72"/>
    <mergeCell ref="K8:L8"/>
    <mergeCell ref="M5:N5"/>
    <mergeCell ref="M6:N6"/>
    <mergeCell ref="M8:N8"/>
    <mergeCell ref="M7:N7"/>
    <mergeCell ref="A65:M65"/>
    <mergeCell ref="A70:M70"/>
    <mergeCell ref="A66:N66"/>
    <mergeCell ref="A67:N67"/>
    <mergeCell ref="A68:N68"/>
    <mergeCell ref="A69:N69"/>
    <mergeCell ref="B11:O11"/>
    <mergeCell ref="B21:O21"/>
    <mergeCell ref="B23:B63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4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2025-12-11T20:02:09Z</cp:lastPrinted>
  <dcterms:created xsi:type="dcterms:W3CDTF">2016-03-30T11:57:46Z</dcterms:created>
  <dcterms:modified xsi:type="dcterms:W3CDTF">2025-12-23T14:54:32Z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