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1040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TAKE-OFF'!$A$2:$P$62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P19" i="1" l="1"/>
  <c r="Q12" i="1"/>
  <c r="O18" i="1"/>
  <c r="M18" i="1"/>
  <c r="G18" i="1"/>
  <c r="O17" i="1"/>
  <c r="M17" i="1"/>
  <c r="G17" i="1"/>
  <c r="O16" i="1"/>
  <c r="M16" i="1"/>
  <c r="G16" i="1"/>
  <c r="O15" i="1"/>
  <c r="M15" i="1"/>
  <c r="G15" i="1"/>
  <c r="O14" i="1"/>
  <c r="M14" i="1"/>
  <c r="G14" i="1"/>
  <c r="O13" i="1"/>
  <c r="M13" i="1"/>
  <c r="G13" i="1"/>
  <c r="A13" i="1"/>
  <c r="A14" i="1" s="1"/>
  <c r="O12" i="1"/>
  <c r="G12" i="1"/>
  <c r="M12" i="1" s="1"/>
  <c r="P42" i="1"/>
  <c r="O41" i="1"/>
  <c r="M41" i="1"/>
  <c r="J41" i="1"/>
  <c r="K41" i="1" s="1"/>
  <c r="P41" i="1" s="1"/>
  <c r="G41" i="1"/>
  <c r="O40" i="1"/>
  <c r="M40" i="1"/>
  <c r="G40" i="1"/>
  <c r="J40" i="1" s="1"/>
  <c r="K40" i="1" s="1"/>
  <c r="P40" i="1" s="1"/>
  <c r="O39" i="1"/>
  <c r="M39" i="1"/>
  <c r="J39" i="1"/>
  <c r="K39" i="1" s="1"/>
  <c r="P39" i="1" s="1"/>
  <c r="G39" i="1"/>
  <c r="O37" i="1"/>
  <c r="M37" i="1"/>
  <c r="J37" i="1"/>
  <c r="K37" i="1" s="1"/>
  <c r="P37" i="1" s="1"/>
  <c r="G37" i="1"/>
  <c r="O36" i="1"/>
  <c r="M36" i="1"/>
  <c r="G36" i="1"/>
  <c r="J36" i="1" s="1"/>
  <c r="K36" i="1" s="1"/>
  <c r="P36" i="1" s="1"/>
  <c r="O35" i="1"/>
  <c r="M35" i="1"/>
  <c r="J35" i="1"/>
  <c r="K35" i="1" s="1"/>
  <c r="P35" i="1" s="1"/>
  <c r="G35" i="1"/>
  <c r="G34" i="1"/>
  <c r="M34" i="1" s="1"/>
  <c r="O32" i="1"/>
  <c r="M32" i="1"/>
  <c r="J32" i="1"/>
  <c r="K32" i="1" s="1"/>
  <c r="P32" i="1" s="1"/>
  <c r="G32" i="1"/>
  <c r="O31" i="1"/>
  <c r="M31" i="1"/>
  <c r="G31" i="1"/>
  <c r="J31" i="1" s="1"/>
  <c r="K31" i="1" s="1"/>
  <c r="P31" i="1" s="1"/>
  <c r="O30" i="1"/>
  <c r="M30" i="1"/>
  <c r="J30" i="1"/>
  <c r="K30" i="1" s="1"/>
  <c r="P30" i="1" s="1"/>
  <c r="G30" i="1"/>
  <c r="G29" i="1"/>
  <c r="J29" i="1" s="1"/>
  <c r="K29" i="1" s="1"/>
  <c r="G28" i="1"/>
  <c r="O28" i="1" s="1"/>
  <c r="G27" i="1"/>
  <c r="O27" i="1" s="1"/>
  <c r="M26" i="1"/>
  <c r="G26" i="1"/>
  <c r="O26" i="1" s="1"/>
  <c r="O25" i="1"/>
  <c r="G25" i="1"/>
  <c r="M25" i="1" s="1"/>
  <c r="O24" i="1"/>
  <c r="M24" i="1"/>
  <c r="J24" i="1"/>
  <c r="K24" i="1" s="1"/>
  <c r="P24" i="1" s="1"/>
  <c r="G24" i="1"/>
  <c r="O23" i="1"/>
  <c r="M23" i="1"/>
  <c r="G23" i="1"/>
  <c r="J23" i="1" s="1"/>
  <c r="K23" i="1" s="1"/>
  <c r="P23" i="1" s="1"/>
  <c r="A15" i="1" l="1"/>
  <c r="A16" i="1" s="1"/>
  <c r="A17" i="1" s="1"/>
  <c r="A18" i="1" s="1"/>
  <c r="O34" i="1"/>
  <c r="J34" i="1"/>
  <c r="K34" i="1" s="1"/>
  <c r="J27" i="1"/>
  <c r="K27" i="1" s="1"/>
  <c r="P27" i="1" s="1"/>
  <c r="M29" i="1"/>
  <c r="J26" i="1"/>
  <c r="K26" i="1" s="1"/>
  <c r="P26" i="1" s="1"/>
  <c r="M28" i="1"/>
  <c r="O29" i="1"/>
  <c r="P29" i="1" s="1"/>
  <c r="J28" i="1"/>
  <c r="K28" i="1" s="1"/>
  <c r="J25" i="1"/>
  <c r="K25" i="1" s="1"/>
  <c r="P25" i="1" s="1"/>
  <c r="M27" i="1"/>
  <c r="A19" i="1"/>
  <c r="A20" i="1"/>
  <c r="A21" i="1"/>
  <c r="A22" i="1"/>
  <c r="A33" i="1"/>
  <c r="A38" i="1"/>
  <c r="A42" i="1"/>
  <c r="P34" i="1" l="1"/>
  <c r="P28" i="1"/>
  <c r="A23" i="1" l="1"/>
  <c r="A24" i="1" l="1"/>
  <c r="A25" i="1" l="1"/>
  <c r="A26" i="1"/>
  <c r="A27" i="1" l="1"/>
  <c r="A28" i="1" l="1"/>
  <c r="A29" i="1" s="1"/>
  <c r="A30" i="1" s="1"/>
  <c r="A31" i="1"/>
  <c r="A32" i="1" s="1"/>
  <c r="A34" i="1" s="1"/>
  <c r="A35" i="1" l="1"/>
  <c r="A36" i="1" s="1"/>
  <c r="A37" i="1" s="1"/>
  <c r="A39" i="1" s="1"/>
  <c r="A40" i="1" s="1"/>
  <c r="A41" i="1" s="1"/>
  <c r="C12" i="3" l="1"/>
  <c r="D12" i="3" s="1"/>
  <c r="H17" i="1" l="1"/>
  <c r="J17" i="1" s="1"/>
  <c r="K17" i="1" s="1"/>
  <c r="P17" i="1" s="1"/>
  <c r="H18" i="1"/>
  <c r="J18" i="1"/>
  <c r="K18" i="1" s="1"/>
  <c r="P18" i="1" s="1"/>
  <c r="H13" i="1"/>
  <c r="J13" i="1" s="1"/>
  <c r="K13" i="1" s="1"/>
  <c r="P13" i="1" s="1"/>
  <c r="H15" i="1"/>
  <c r="J15" i="1" s="1"/>
  <c r="K15" i="1" s="1"/>
  <c r="P15" i="1" s="1"/>
  <c r="H14" i="1"/>
  <c r="J14" i="1"/>
  <c r="K14" i="1" s="1"/>
  <c r="P14" i="1" s="1"/>
  <c r="H12" i="1"/>
  <c r="J12" i="1" s="1"/>
  <c r="K12" i="1" s="1"/>
  <c r="P12" i="1" s="1"/>
  <c r="H16" i="1"/>
  <c r="J16" i="1" s="1"/>
  <c r="K16" i="1" s="1"/>
  <c r="P16" i="1" s="1"/>
  <c r="C11" i="3" l="1"/>
  <c r="P44" i="1" l="1"/>
  <c r="P47" i="1" s="1"/>
  <c r="P46" i="1"/>
  <c r="P45" i="1"/>
  <c r="D11" i="3"/>
  <c r="D13" i="3" s="1"/>
  <c r="C13" i="3"/>
  <c r="P48" i="1" l="1"/>
  <c r="C15" i="3"/>
  <c r="C18" i="3" s="1"/>
  <c r="C17" i="3"/>
  <c r="C16" i="3"/>
  <c r="D15" i="3"/>
  <c r="D18" i="3" s="1"/>
  <c r="D17" i="3"/>
  <c r="D16" i="3"/>
</calcChain>
</file>

<file path=xl/sharedStrings.xml><?xml version="1.0" encoding="utf-8"?>
<sst xmlns="http://schemas.openxmlformats.org/spreadsheetml/2006/main" count="109" uniqueCount="80">
  <si>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</si>
  <si>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</si>
  <si>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</si>
  <si>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</si>
  <si>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</si>
  <si>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</si>
  <si>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</si>
  <si>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</si>
  <si>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</si>
  <si>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</si>
  <si>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</si>
  <si>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</si>
  <si>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</si>
  <si>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</si>
  <si>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</si>
  <si>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</si>
  <si>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</si>
  <si>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</si>
  <si>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</si>
  <si>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</si>
  <si>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</si>
  <si>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</si>
  <si>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</si>
  <si>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</si>
  <si>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</si>
  <si>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</si>
  <si>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>Specialties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</si>
  <si>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</si>
  <si>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</si>
  <si>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</si>
  <si>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</si>
  <si>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</si>
  <si>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</si>
  <si>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</si>
  <si>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</si>
  <si>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</si>
  <si>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</si>
  <si>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</si>
  <si>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</si>
  <si>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</si>
  <si>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</si>
  <si>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</si>
  <si>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</si>
  <si>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</si>
  <si>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</si>
  <si>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</si>
  <si>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</si>
  <si>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</si>
  <si>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</si>
  <si>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</si>
  <si>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</si>
  <si>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</si>
  <si>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</si>
  <si>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Building GSF</t>
  </si>
  <si>
    <t>TOTAL DIV. COST (PER SF)</t>
  </si>
  <si>
    <t>EA</t>
  </si>
  <si>
    <t>01. GENERAL REQUIREMENTS</t>
  </si>
  <si>
    <t>10. SPECIALTIES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</si>
  <si>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</si>
  <si>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Toilet Accessories</t>
  </si>
  <si>
    <t>Misc.</t>
  </si>
  <si>
    <t>A: 36" Grab Bar 
 - Mfr: Bobrick
 - Model: 150Cx36MBLK
 - Finish: Matte Black</t>
  </si>
  <si>
    <t>B: 42" Grab Bar 
 - Mfr: Bobrick
 - Model: 150Cx42MBLK
 - Finish: Matte Black</t>
  </si>
  <si>
    <t>C: 18" Grab Bar 
 - Mfr: Bobrick
 - Model: 150Cx18MBLK
 - Finish: Matte Black</t>
  </si>
  <si>
    <t>D: Surface Mounted Multi-Purpose Toilet Tissue Suspenser 
 - Mfr: Bobrick
 - Model: B-3588MBLK
 - Finish: Matte Black</t>
  </si>
  <si>
    <t>E: Channel Frame Mirror 
 - Mfr: Bobrick
 - Model: B-290 2436MBLK
 - Finish: Matte Black</t>
  </si>
  <si>
    <t>F: Surface Mounted Soap Dispenser 
 - Mfr: Bobrick
 - Model: B-2012MBLK
 - Finish: Matte Black</t>
  </si>
  <si>
    <t>H: Surface Mounted Sanitary Napkin Disposal
 - Mfr: Bobrick
 - Model: B-35139MBLK
 - Finish: Matte Black</t>
  </si>
  <si>
    <t>N: Baby Changing Station
 - Mfr: Koala Kare
 - Model: KB311-SSWM-MBLK
 - Finish: Matte Black</t>
  </si>
  <si>
    <t>L: Coat Hook
 - Mfr: Bobrick
 - Model: B-9542MBLK
 - Finish: Matte Black</t>
  </si>
  <si>
    <t>WS-1: Custom Millwork Framed Mirror</t>
  </si>
  <si>
    <t>Signages</t>
  </si>
  <si>
    <t>I: Men's ADA Restroom Interior Signage 
 - Mfr: Amera products Inc.
 - Model: Men's Black 5302
 - Finish: White on Black</t>
  </si>
  <si>
    <t>J: Women's ADA Restroom Interior Signage 
 - Mfr: Amera products Inc.
 - Model: Women's Black 5304
 - Finish: White on Black</t>
  </si>
  <si>
    <t>K: Unisex ADA Restroom Interior Signage 
 - Mfr: Amera products Inc.
 - Model: Unisex Black 5306
 - Finish: White on Black</t>
  </si>
  <si>
    <t>2'-0" x 3'-0" Marketing Graphic</t>
  </si>
  <si>
    <t>Semi-Recessed Fire Extinguisher Cabinet</t>
  </si>
  <si>
    <t>Type "K" Fire Extinguisher</t>
  </si>
  <si>
    <t>8'-0" High Stainless Steel Wall Corner Guard
 - Mfr: John Boos
 - Model: Corner452-CUT-X
 - Finish: Matte Black</t>
  </si>
  <si>
    <t>SPECIALTIES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</si>
</sst>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17">
      <alignment horizontal="left" vertical="center" wrapText="1"/>
    </xf>
    <xf numFmtId="39" fontId="4" fillId="0" borderId="17">
      <alignment horizontal="left" vertical="center" wrapText="1"/>
    </xf>
  </cellStyleXfs>
  <cellXfs count="138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9" fillId="3" borderId="9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9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9" xfId="0" applyNumberFormat="1" applyFont="1" applyFill="1" applyBorder="1" applyAlignment="1">
      <alignment horizontal="right"/>
    </xf>
    <xf numFmtId="0" fontId="9" fillId="8" borderId="10" xfId="0" applyFont="1" applyFill="1" applyBorder="1" applyAlignment="1">
      <alignment horizontal="center" vertical="center"/>
    </xf>
    <xf numFmtId="166" fontId="7" fillId="7" borderId="9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6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vertical="center"/>
    </xf>
    <xf numFmtId="166" fontId="7" fillId="8" borderId="23" xfId="0" applyNumberFormat="1" applyFont="1" applyFill="1" applyBorder="1"/>
    <xf numFmtId="164" fontId="7" fillId="8" borderId="24" xfId="0" applyNumberFormat="1" applyFont="1" applyFill="1" applyBorder="1"/>
    <xf numFmtId="164" fontId="7" fillId="8" borderId="11" xfId="0" applyNumberFormat="1" applyFont="1" applyFill="1" applyBorder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28" xfId="0" applyFont="1" applyBorder="1" applyAlignment="1">
      <alignment horizontal="center" vertical="center" wrapText="1"/>
    </xf>
    <xf numFmtId="0" fontId="10" fillId="9" borderId="10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1" xfId="3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vertical="center"/>
    </xf>
    <xf numFmtId="0" fontId="10" fillId="9" borderId="21" xfId="0" applyFont="1" applyFill="1" applyBorder="1" applyAlignment="1">
      <alignment vertical="center"/>
    </xf>
    <xf numFmtId="0" fontId="10" fillId="10" borderId="6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9" xfId="0" applyNumberFormat="1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2" xfId="0" applyNumberFormat="1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165" fontId="10" fillId="10" borderId="11" xfId="0" applyNumberFormat="1" applyFont="1" applyFill="1" applyBorder="1" applyAlignment="1">
      <alignment horizontal="center" vertical="center"/>
    </xf>
    <xf numFmtId="0" fontId="25" fillId="3" borderId="0" xfId="0" applyFont="1" applyFill="1" applyAlignment="1">
      <alignment horizontal="left" vertical="center"/>
    </xf>
    <xf numFmtId="0" fontId="10" fillId="9" borderId="25" xfId="0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166" fontId="10" fillId="10" borderId="20" xfId="2" applyNumberFormat="1" applyFont="1" applyFill="1" applyBorder="1" applyAlignment="1">
      <alignment vertical="center"/>
    </xf>
    <xf numFmtId="166" fontId="10" fillId="10" borderId="7" xfId="2" applyNumberFormat="1" applyFont="1" applyFill="1" applyBorder="1" applyAlignment="1">
      <alignment vertical="center"/>
    </xf>
    <xf numFmtId="0" fontId="10" fillId="10" borderId="20" xfId="0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24" fillId="9" borderId="13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67BC2"/>
      <color rgb="FFCF9843"/>
      <color rgb="FF3366CC"/>
      <color rgb="FF4F81BD"/>
      <color rgb="FF0000B3"/>
      <color rgb="FF00B300"/>
      <color rgb="FFEFF5F5"/>
      <color rgb="FF3399FF"/>
      <color rgb="FFA744B8"/>
      <color rgb="FF8533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67BC2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Specialties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3162.8351848500006</c:v>
                </c:pt>
                <c:pt idx="1">
                  <c:v>22869.379500000003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056000"/>
        <c:axId val="197057536"/>
        <c:axId val="0"/>
      </c:bar3DChart>
      <c:catAx>
        <c:axId val="19705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57536"/>
        <c:crosses val="autoZero"/>
        <c:auto val="1"/>
        <c:lblAlgn val="ctr"/>
        <c:lblOffset val="100"/>
        <c:noMultiLvlLbl val="0"/>
      </c:catAx>
      <c:valAx>
        <c:axId val="19705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56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3</xdr:col>
      <xdr:colOff>1333500</xdr:colOff>
      <xdr:row>0</xdr:row>
      <xdr:rowOff>0</xdr:rowOff>
    </xdr:from>
    <xdr:to>
      <xdr:col>11</xdr:col>
      <xdr:colOff>675527</xdr:colOff>
      <xdr:row>17</xdr:row>
      <xdr:rowOff>142501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430653</xdr:colOff>
      <xdr:row>0</xdr:row>
      <xdr:rowOff>103281</xdr:rowOff>
    </xdr:from>
    <xdr:to>
      <xdr:col>3</xdr:col>
      <xdr:colOff>1081089</xdr:colOff>
      <xdr:row>7</xdr:row>
      <xdr:rowOff>155236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7543" cy="138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108857</xdr:colOff>
      <xdr:row>1</xdr:row>
      <xdr:rowOff>50613</xdr:rowOff>
    </xdr:from>
    <xdr:to>
      <xdr:col>15</xdr:col>
      <xdr:colOff>1086763</xdr:colOff>
      <xdr:row>8</xdr:row>
      <xdr:rowOff>141530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0286" y="50613"/>
          <a:ext cx="2012049" cy="1478846"/>
        </a:xfrm>
        <a:prstGeom prst="rect">
          <a:avLst/>
        </a:prstGeom>
      </xdr:spPr>
    </xdr:pic>
    <xdr:clientData/>
  </xdr:twoCellAnchor>
  <xdr:twoCellAnchor editAs="oneCell">
    <xdr:from>
      <xdr:col>13</xdr:col>
      <xdr:colOff>938893</xdr:colOff>
      <xdr:row>1</xdr:row>
      <xdr:rowOff>50613</xdr:rowOff>
    </xdr:from>
    <xdr:to>
      <xdr:col>15</xdr:col>
      <xdr:colOff>922579</xdr:colOff>
      <xdr:row>8</xdr:row>
      <xdr:rowOff>61747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83" t="24050" r="8740" b="16138"/>
        <a:stretch>
          <a:fillRect/>
        </a:stretch>
      </xdr:blipFill>
      <xdr:spPr>
        <a:xfrm>
          <a:off x="14260286" y="50613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0" zoomScaleNormal="100" zoomScaleSheetLayoutView="70" workbookViewId="0">
      <pane ySplit="10" topLeftCell="A11" activePane="bottomLeft" state="frozen"/>
      <selection activeCell="N7" sqref="N7"/>
      <selection pane="bottomLeft" activeCell="B3" sqref="B3"/>
    </sheetView>
  </sheetViews>
  <sheetFormatPr defaultColWidth="9" defaultRowHeight="14.25" x14ac:dyDescent="0.2"/>
  <cols>
    <col min="1" max="1" width="23.625" style="36" customWidth="1"/>
    <col min="2" max="2" width="44.875" style="36" customWidth="1"/>
    <col min="3" max="4" width="17.625" style="40" customWidth="1"/>
    <col min="5" max="16384" width="9" style="36"/>
  </cols>
  <sheetData>
    <row r="1" spans="1:4" ht="15" x14ac:dyDescent="0.2">
      <c r="A1" s="55"/>
      <c r="B1" s="41"/>
      <c r="C1" s="80"/>
      <c r="D1" s="56"/>
    </row>
    <row r="2" spans="1:4" ht="15" x14ac:dyDescent="0.2">
      <c r="A2" s="20" t="s">
        <v>41</v>
      </c>
      <c r="B2" s="19"/>
      <c r="C2" s="81"/>
      <c r="D2" s="10"/>
    </row>
    <row r="3" spans="1:4" ht="15" x14ac:dyDescent="0.2">
      <c r="A3" s="20"/>
      <c r="B3" s="19"/>
      <c r="C3" s="81"/>
      <c r="D3" s="10"/>
    </row>
    <row r="4" spans="1:4" ht="15" x14ac:dyDescent="0.2">
      <c r="A4" s="20" t="s">
        <v>33</v>
      </c>
      <c r="B4" s="19"/>
      <c r="C4" s="81"/>
      <c r="D4" s="10"/>
    </row>
    <row r="5" spans="1:4" ht="15" x14ac:dyDescent="0.2">
      <c r="A5" s="20"/>
      <c r="B5" s="19"/>
      <c r="C5" s="81"/>
      <c r="D5" s="10"/>
    </row>
    <row r="6" spans="1:4" ht="15" x14ac:dyDescent="0.2">
      <c r="A6" s="20" t="s">
        <v>32</v>
      </c>
      <c r="B6" s="19">
        <v>1</v>
      </c>
      <c r="C6" s="81"/>
      <c r="D6" s="10"/>
    </row>
    <row r="7" spans="1:4" ht="15" x14ac:dyDescent="0.2">
      <c r="A7" s="20"/>
      <c r="B7" s="83"/>
      <c r="C7" s="81"/>
      <c r="D7" s="10"/>
    </row>
    <row r="8" spans="1:4" ht="15" x14ac:dyDescent="0.2">
      <c r="A8" s="20" t="s">
        <v>53</v>
      </c>
      <c r="B8" s="19">
        <v>2500</v>
      </c>
      <c r="C8" s="81"/>
      <c r="D8" s="10"/>
    </row>
    <row r="9" spans="1:4" ht="15.75" thickBot="1" x14ac:dyDescent="0.3">
      <c r="A9" s="20"/>
      <c r="B9" s="57"/>
      <c r="C9" s="82"/>
      <c r="D9" s="58"/>
    </row>
    <row r="10" spans="1:4" s="37" customFormat="1" ht="30.75" thickBot="1" x14ac:dyDescent="0.25">
      <c r="A10" s="117" t="s">
        <v>15</v>
      </c>
      <c r="B10" s="118" t="s">
        <v>0</v>
      </c>
      <c r="C10" s="118" t="s">
        <v>16</v>
      </c>
      <c r="D10" s="119" t="s">
        <v>54</v>
      </c>
    </row>
    <row r="11" spans="1:4" ht="15" x14ac:dyDescent="0.2">
      <c r="A11" s="89">
        <v>1000</v>
      </c>
      <c r="B11" s="90" t="s">
        <v>17</v>
      </c>
      <c r="C11" s="91">
        <f>'MATERIAL TAKE-OFF'!P19</f>
        <v>3162.8351848500006</v>
      </c>
      <c r="D11" s="92">
        <f>C11/$B$8</f>
        <v>1.2651340739400003</v>
      </c>
    </row>
    <row r="12" spans="1:4" ht="15" x14ac:dyDescent="0.2">
      <c r="A12" s="59">
        <v>10000</v>
      </c>
      <c r="B12" s="54" t="s">
        <v>26</v>
      </c>
      <c r="C12" s="79">
        <f>'MATERIAL TAKE-OFF'!P42</f>
        <v>22869.379500000003</v>
      </c>
      <c r="D12" s="93">
        <f t="shared" ref="D12" si="0">C12/$B$8</f>
        <v>9.1477518000000018</v>
      </c>
    </row>
    <row r="13" spans="1:4" s="38" customFormat="1" ht="15.75" thickBot="1" x14ac:dyDescent="0.25">
      <c r="A13" s="122" t="s">
        <v>12</v>
      </c>
      <c r="B13" s="122"/>
      <c r="C13" s="120">
        <f>SUM(C11:C12)</f>
        <v>26032.214684850005</v>
      </c>
      <c r="D13" s="120">
        <f>SUM(D11:D12)</f>
        <v>10.412885873940002</v>
      </c>
    </row>
    <row r="14" spans="1:4" ht="15.75" thickBot="1" x14ac:dyDescent="0.25">
      <c r="A14" s="123"/>
      <c r="B14" s="123"/>
      <c r="C14" s="123"/>
      <c r="D14" s="123"/>
    </row>
    <row r="15" spans="1:4" s="39" customFormat="1" ht="15" x14ac:dyDescent="0.2">
      <c r="A15" s="42" t="s">
        <v>20</v>
      </c>
      <c r="B15" s="43">
        <v>0.2</v>
      </c>
      <c r="C15" s="60">
        <f>$C$13*B15</f>
        <v>5206.442936970001</v>
      </c>
      <c r="D15" s="60">
        <f>$D$13*B15</f>
        <v>2.0825771747880006</v>
      </c>
    </row>
    <row r="16" spans="1:4" s="39" customFormat="1" ht="15" x14ac:dyDescent="0.2">
      <c r="A16" s="42" t="s">
        <v>5</v>
      </c>
      <c r="B16" s="43">
        <v>0.03</v>
      </c>
      <c r="C16" s="60">
        <f>$C$13*B16</f>
        <v>780.96644054550018</v>
      </c>
      <c r="D16" s="60">
        <f>$D$13*B16</f>
        <v>0.31238657621820004</v>
      </c>
    </row>
    <row r="17" spans="1:4" s="39" customFormat="1" ht="15.75" thickBot="1" x14ac:dyDescent="0.25">
      <c r="A17" s="42" t="s">
        <v>18</v>
      </c>
      <c r="B17" s="43">
        <v>0.05</v>
      </c>
      <c r="C17" s="60">
        <f>$C$13*B17</f>
        <v>1301.6107342425003</v>
      </c>
      <c r="D17" s="60">
        <f>$D$13*B17</f>
        <v>0.52064429369700016</v>
      </c>
    </row>
    <row r="18" spans="1:4" s="37" customFormat="1" ht="15.75" thickBot="1" x14ac:dyDescent="0.25">
      <c r="A18" s="124" t="s">
        <v>31</v>
      </c>
      <c r="B18" s="125"/>
      <c r="C18" s="121">
        <f>SUM(C13:C17)</f>
        <v>33321.234796608005</v>
      </c>
      <c r="D18" s="121">
        <f>SUM(D13:D17)</f>
        <v>13.328493918643202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62"/>
  <sheetViews>
    <sheetView showGridLines="0" tabSelected="1" topLeftCell="A2" zoomScale="70" zoomScaleNormal="70" zoomScaleSheetLayoutView="55" workbookViewId="0">
      <pane ySplit="9" topLeftCell="A11" activePane="bottomLeft" state="frozen"/>
      <selection activeCell="N7" sqref="N7"/>
      <selection pane="bottomLeft" activeCell="C9" sqref="C9"/>
    </sheetView>
  </sheetViews>
  <sheetFormatPr defaultColWidth="9" defaultRowHeight="14.25" x14ac:dyDescent="0.2"/>
  <cols>
    <col min="1" max="1" width="8.625" style="7" customWidth="1"/>
    <col min="2" max="2" width="11.87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0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0.87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4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5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27</v>
      </c>
      <c r="B3" s="19"/>
      <c r="C3" s="3"/>
      <c r="D3" s="8"/>
      <c r="E3" s="3"/>
      <c r="F3" s="8"/>
      <c r="G3" s="62"/>
      <c r="H3" s="62"/>
      <c r="K3" s="137"/>
      <c r="L3" s="137"/>
      <c r="M3" s="137"/>
      <c r="N3" s="137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1"/>
      <c r="H4" s="76"/>
      <c r="K4" s="127"/>
      <c r="L4" s="127"/>
      <c r="M4" s="129"/>
      <c r="N4" s="127"/>
      <c r="P4" s="9"/>
    </row>
    <row r="5" spans="1:17" ht="15" customHeight="1" x14ac:dyDescent="0.2">
      <c r="A5" s="18" t="s">
        <v>33</v>
      </c>
      <c r="B5" s="19"/>
      <c r="C5" s="3"/>
      <c r="D5" s="8"/>
      <c r="E5" s="3"/>
      <c r="F5" s="8"/>
      <c r="G5" s="61"/>
      <c r="H5" s="76"/>
      <c r="K5" s="127"/>
      <c r="L5" s="127"/>
      <c r="M5" s="128"/>
      <c r="N5" s="127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1"/>
      <c r="H6" s="76"/>
      <c r="K6" s="127"/>
      <c r="L6" s="127"/>
      <c r="M6" s="128"/>
      <c r="N6" s="127"/>
      <c r="P6" s="9"/>
    </row>
    <row r="7" spans="1:17" ht="15" customHeight="1" x14ac:dyDescent="0.2">
      <c r="A7" s="18" t="s">
        <v>21</v>
      </c>
      <c r="B7" s="116" t="s">
        <v>79</v>
      </c>
      <c r="C7" s="3"/>
      <c r="D7" s="8"/>
      <c r="E7" s="3"/>
      <c r="F7" s="8"/>
      <c r="G7" s="46"/>
      <c r="K7" s="127"/>
      <c r="L7" s="127"/>
      <c r="M7" s="128"/>
      <c r="N7" s="127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6"/>
      <c r="K8" s="127"/>
      <c r="L8" s="127"/>
      <c r="M8" s="129"/>
      <c r="N8" s="127"/>
      <c r="P8" s="9"/>
    </row>
    <row r="9" spans="1:17" ht="15" customHeight="1" x14ac:dyDescent="0.2">
      <c r="A9" s="18" t="s">
        <v>19</v>
      </c>
      <c r="B9" s="3"/>
      <c r="C9" s="3"/>
      <c r="D9" s="8"/>
      <c r="E9" s="3"/>
      <c r="F9" s="8"/>
      <c r="G9" s="46"/>
      <c r="P9" s="9"/>
    </row>
    <row r="10" spans="1:17" s="94" customFormat="1" ht="61.35" customHeight="1" x14ac:dyDescent="0.2">
      <c r="A10" s="97" t="s">
        <v>7</v>
      </c>
      <c r="B10" s="98" t="s">
        <v>25</v>
      </c>
      <c r="C10" s="99" t="s">
        <v>0</v>
      </c>
      <c r="D10" s="100" t="s">
        <v>1</v>
      </c>
      <c r="E10" s="99" t="s">
        <v>2</v>
      </c>
      <c r="F10" s="100" t="s">
        <v>22</v>
      </c>
      <c r="G10" s="101" t="s">
        <v>23</v>
      </c>
      <c r="H10" s="102" t="s">
        <v>36</v>
      </c>
      <c r="I10" s="98" t="s">
        <v>34</v>
      </c>
      <c r="J10" s="102" t="s">
        <v>37</v>
      </c>
      <c r="K10" s="98" t="s">
        <v>35</v>
      </c>
      <c r="L10" s="98" t="s">
        <v>28</v>
      </c>
      <c r="M10" s="98" t="s">
        <v>38</v>
      </c>
      <c r="N10" s="98" t="s">
        <v>29</v>
      </c>
      <c r="O10" s="98" t="s">
        <v>39</v>
      </c>
      <c r="P10" s="103" t="s">
        <v>11</v>
      </c>
    </row>
    <row r="11" spans="1:17" s="94" customFormat="1" ht="18" customHeight="1" x14ac:dyDescent="0.2">
      <c r="A11" s="104"/>
      <c r="B11" s="136" t="s">
        <v>56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05"/>
    </row>
    <row r="12" spans="1:17" ht="18" customHeight="1" x14ac:dyDescent="0.2">
      <c r="A12" s="84">
        <v>1</v>
      </c>
      <c r="B12" s="21"/>
      <c r="C12" s="22" t="s">
        <v>8</v>
      </c>
      <c r="D12" s="21">
        <v>1</v>
      </c>
      <c r="E12" s="21" t="s">
        <v>6</v>
      </c>
      <c r="F12" s="85">
        <v>0</v>
      </c>
      <c r="G12" s="86">
        <f t="shared" ref="G12:G18" si="0">(F12*D12)+D12</f>
        <v>1</v>
      </c>
      <c r="H12" s="86">
        <f>2.5%*$Q$12/I12</f>
        <v>6.5036342566260963</v>
      </c>
      <c r="I12" s="87">
        <v>87.91</v>
      </c>
      <c r="J12" s="86">
        <f t="shared" ref="J12:J18" si="1">H12*G12</f>
        <v>6.5036342566260963</v>
      </c>
      <c r="K12" s="87">
        <f t="shared" ref="K12:K18" si="2">I12*J12</f>
        <v>571.73448750000011</v>
      </c>
      <c r="L12" s="87">
        <v>0</v>
      </c>
      <c r="M12" s="87">
        <f t="shared" ref="M12:M18" si="3">L12*G12</f>
        <v>0</v>
      </c>
      <c r="N12" s="87">
        <v>0</v>
      </c>
      <c r="O12" s="87">
        <f t="shared" ref="O12:O18" si="4">N12*G12</f>
        <v>0</v>
      </c>
      <c r="P12" s="87">
        <f t="shared" ref="P12:P18" si="5">IF(D12="","",(K12+M12+O12))</f>
        <v>571.73448750000011</v>
      </c>
      <c r="Q12" s="51">
        <f>SUM(P22:P42)/2</f>
        <v>22869.379500000003</v>
      </c>
    </row>
    <row r="13" spans="1:17" ht="18" customHeight="1" x14ac:dyDescent="0.2">
      <c r="A13" s="21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85">
        <v>0</v>
      </c>
      <c r="G13" s="86">
        <f t="shared" si="0"/>
        <v>1</v>
      </c>
      <c r="H13" s="86">
        <f>1.65%*$Q$12/I13</f>
        <v>4.2923986093732234</v>
      </c>
      <c r="I13" s="87">
        <v>87.91</v>
      </c>
      <c r="J13" s="86">
        <f t="shared" si="1"/>
        <v>4.2923986093732234</v>
      </c>
      <c r="K13" s="87">
        <f t="shared" si="2"/>
        <v>377.34476175000003</v>
      </c>
      <c r="L13" s="87">
        <v>0</v>
      </c>
      <c r="M13" s="87">
        <f t="shared" si="3"/>
        <v>0</v>
      </c>
      <c r="N13" s="87">
        <v>0</v>
      </c>
      <c r="O13" s="87">
        <f t="shared" si="4"/>
        <v>0</v>
      </c>
      <c r="P13" s="87">
        <f t="shared" si="5"/>
        <v>377.34476175000003</v>
      </c>
    </row>
    <row r="14" spans="1:17" ht="18" customHeight="1" x14ac:dyDescent="0.2">
      <c r="A14" s="2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85">
        <v>0</v>
      </c>
      <c r="G14" s="86">
        <f t="shared" si="0"/>
        <v>1</v>
      </c>
      <c r="H14" s="86">
        <f>0.85%*$Q$12/I14</f>
        <v>2.2112356472528725</v>
      </c>
      <c r="I14" s="87">
        <v>87.91</v>
      </c>
      <c r="J14" s="86">
        <f t="shared" si="1"/>
        <v>2.2112356472528725</v>
      </c>
      <c r="K14" s="87">
        <f t="shared" si="2"/>
        <v>194.38972575000003</v>
      </c>
      <c r="L14" s="87">
        <v>0</v>
      </c>
      <c r="M14" s="87">
        <f t="shared" si="3"/>
        <v>0</v>
      </c>
      <c r="N14" s="87">
        <v>0</v>
      </c>
      <c r="O14" s="87">
        <f t="shared" si="4"/>
        <v>0</v>
      </c>
      <c r="P14" s="87">
        <f t="shared" si="5"/>
        <v>194.38972575000003</v>
      </c>
    </row>
    <row r="15" spans="1:17" ht="18" customHeight="1" x14ac:dyDescent="0.2">
      <c r="A15" s="2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85">
        <v>0</v>
      </c>
      <c r="G15" s="86">
        <f t="shared" si="0"/>
        <v>1</v>
      </c>
      <c r="H15" s="86">
        <f>2.35%*$Q$12/I15</f>
        <v>6.1134162012285307</v>
      </c>
      <c r="I15" s="87">
        <v>87.91</v>
      </c>
      <c r="J15" s="86">
        <f t="shared" si="1"/>
        <v>6.1134162012285307</v>
      </c>
      <c r="K15" s="87">
        <f t="shared" si="2"/>
        <v>537.43041825000012</v>
      </c>
      <c r="L15" s="87">
        <v>0</v>
      </c>
      <c r="M15" s="87">
        <f t="shared" si="3"/>
        <v>0</v>
      </c>
      <c r="N15" s="87">
        <v>0</v>
      </c>
      <c r="O15" s="87">
        <f t="shared" si="4"/>
        <v>0</v>
      </c>
      <c r="P15" s="87">
        <f t="shared" si="5"/>
        <v>537.43041825000012</v>
      </c>
    </row>
    <row r="16" spans="1:17" ht="18" customHeight="1" x14ac:dyDescent="0.2">
      <c r="A16" s="21">
        <f t="shared" si="6"/>
        <v>5</v>
      </c>
      <c r="B16" s="21"/>
      <c r="C16" s="22" t="s">
        <v>30</v>
      </c>
      <c r="D16" s="21">
        <v>1</v>
      </c>
      <c r="E16" s="21" t="s">
        <v>6</v>
      </c>
      <c r="F16" s="85">
        <v>0</v>
      </c>
      <c r="G16" s="86">
        <f t="shared" si="0"/>
        <v>1</v>
      </c>
      <c r="H16" s="86">
        <f>2%*$Q$12/I16</f>
        <v>5.202907405300877</v>
      </c>
      <c r="I16" s="87">
        <v>87.91</v>
      </c>
      <c r="J16" s="86">
        <f t="shared" si="1"/>
        <v>5.202907405300877</v>
      </c>
      <c r="K16" s="87">
        <f t="shared" si="2"/>
        <v>457.3875900000001</v>
      </c>
      <c r="L16" s="87">
        <v>0</v>
      </c>
      <c r="M16" s="87">
        <f t="shared" si="3"/>
        <v>0</v>
      </c>
      <c r="N16" s="87">
        <v>0</v>
      </c>
      <c r="O16" s="87">
        <f t="shared" si="4"/>
        <v>0</v>
      </c>
      <c r="P16" s="87">
        <f t="shared" si="5"/>
        <v>457.3875900000001</v>
      </c>
    </row>
    <row r="17" spans="1:16" ht="18" customHeight="1" x14ac:dyDescent="0.2">
      <c r="A17" s="21">
        <f t="shared" si="6"/>
        <v>6</v>
      </c>
      <c r="B17" s="21"/>
      <c r="C17" s="22" t="s">
        <v>4</v>
      </c>
      <c r="D17" s="21">
        <v>1</v>
      </c>
      <c r="E17" s="21" t="s">
        <v>6</v>
      </c>
      <c r="F17" s="85">
        <v>0</v>
      </c>
      <c r="G17" s="86">
        <f t="shared" si="0"/>
        <v>1</v>
      </c>
      <c r="H17" s="86">
        <f>0.98%*$Q$12/I17</f>
        <v>2.5494246285974298</v>
      </c>
      <c r="I17" s="87">
        <v>87.91</v>
      </c>
      <c r="J17" s="86">
        <f t="shared" si="1"/>
        <v>2.5494246285974298</v>
      </c>
      <c r="K17" s="87">
        <f t="shared" si="2"/>
        <v>224.11991910000003</v>
      </c>
      <c r="L17" s="87">
        <v>0</v>
      </c>
      <c r="M17" s="87">
        <f t="shared" si="3"/>
        <v>0</v>
      </c>
      <c r="N17" s="87">
        <v>0</v>
      </c>
      <c r="O17" s="87">
        <f t="shared" si="4"/>
        <v>0</v>
      </c>
      <c r="P17" s="87">
        <f t="shared" si="5"/>
        <v>224.11991910000003</v>
      </c>
    </row>
    <row r="18" spans="1:16" ht="18" customHeight="1" x14ac:dyDescent="0.2">
      <c r="A18" s="21">
        <f t="shared" si="6"/>
        <v>7</v>
      </c>
      <c r="B18" s="21"/>
      <c r="C18" s="22" t="s">
        <v>14</v>
      </c>
      <c r="D18" s="88">
        <v>1</v>
      </c>
      <c r="E18" s="21" t="s">
        <v>6</v>
      </c>
      <c r="F18" s="85">
        <v>0</v>
      </c>
      <c r="G18" s="86">
        <f t="shared" si="0"/>
        <v>1</v>
      </c>
      <c r="H18" s="86">
        <f>3.5%*$Q$12/I18</f>
        <v>9.1050879592765348</v>
      </c>
      <c r="I18" s="87">
        <v>87.91</v>
      </c>
      <c r="J18" s="86">
        <f t="shared" si="1"/>
        <v>9.1050879592765348</v>
      </c>
      <c r="K18" s="87">
        <f t="shared" si="2"/>
        <v>800.42828250000014</v>
      </c>
      <c r="L18" s="87">
        <v>0</v>
      </c>
      <c r="M18" s="87">
        <f t="shared" si="3"/>
        <v>0</v>
      </c>
      <c r="N18" s="87">
        <v>0</v>
      </c>
      <c r="O18" s="87">
        <f t="shared" si="4"/>
        <v>0</v>
      </c>
      <c r="P18" s="87">
        <f t="shared" si="5"/>
        <v>800.42828250000014</v>
      </c>
    </row>
    <row r="19" spans="1:16" s="94" customFormat="1" ht="18" customHeight="1" x14ac:dyDescent="0.2">
      <c r="A19" s="106" t="str">
        <f t="shared" ref="A19" si="7">IF(E19=0,"",1+MAX(A13:A18))</f>
        <v/>
      </c>
      <c r="B19" s="107"/>
      <c r="C19" s="108"/>
      <c r="D19" s="109"/>
      <c r="E19" s="109"/>
      <c r="F19" s="109"/>
      <c r="G19" s="110"/>
      <c r="H19" s="109"/>
      <c r="I19" s="109"/>
      <c r="J19" s="109"/>
      <c r="K19" s="109"/>
      <c r="L19" s="109"/>
      <c r="M19" s="109"/>
      <c r="N19" s="109"/>
      <c r="O19" s="109" t="s">
        <v>24</v>
      </c>
      <c r="P19" s="111">
        <f>SUM(P12:P18)</f>
        <v>3162.8351848500006</v>
      </c>
    </row>
    <row r="20" spans="1:16" ht="18" customHeight="1" x14ac:dyDescent="0.2">
      <c r="A20" s="68" t="str">
        <f>IF(E20=0,"",1+MAX(#REF!))</f>
        <v/>
      </c>
      <c r="B20" s="69"/>
      <c r="C20" s="23"/>
      <c r="D20" s="24"/>
      <c r="E20" s="23"/>
      <c r="F20" s="24"/>
      <c r="G20" s="47"/>
      <c r="H20" s="77"/>
      <c r="I20" s="25"/>
      <c r="J20" s="77"/>
      <c r="K20" s="25"/>
      <c r="L20" s="25"/>
      <c r="M20" s="25"/>
      <c r="N20" s="25"/>
      <c r="O20" s="25"/>
      <c r="P20" s="26"/>
    </row>
    <row r="21" spans="1:16" s="94" customFormat="1" ht="18" customHeight="1" x14ac:dyDescent="0.2">
      <c r="A21" s="104" t="str">
        <f>IF(E21=0,"",1+MAX(A20:A20))</f>
        <v/>
      </c>
      <c r="B21" s="136" t="s">
        <v>57</v>
      </c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05"/>
    </row>
    <row r="22" spans="1:16" s="3" customFormat="1" ht="15" x14ac:dyDescent="0.2">
      <c r="A22" s="84" t="str">
        <f>IF(E22=0,"",1+MAX(A20:A21))</f>
        <v/>
      </c>
      <c r="B22" s="29"/>
      <c r="C22" s="78" t="s">
        <v>59</v>
      </c>
      <c r="D22" s="28"/>
      <c r="E22" s="28"/>
      <c r="F22" s="85"/>
      <c r="G22" s="86"/>
      <c r="H22" s="86"/>
      <c r="I22" s="87"/>
      <c r="J22" s="86"/>
      <c r="K22" s="87"/>
      <c r="L22" s="87"/>
      <c r="M22" s="87"/>
      <c r="N22" s="87"/>
      <c r="O22" s="87"/>
      <c r="P22" s="87"/>
    </row>
    <row r="23" spans="1:16" s="3" customFormat="1" ht="57" x14ac:dyDescent="0.2">
      <c r="A23" s="84">
        <f>IF(D23=0,"",1+MAX(A$12:A22))</f>
        <v>8</v>
      </c>
      <c r="B23" s="29"/>
      <c r="C23" s="53" t="s">
        <v>61</v>
      </c>
      <c r="D23" s="28">
        <v>1</v>
      </c>
      <c r="E23" s="28" t="s">
        <v>55</v>
      </c>
      <c r="F23" s="85">
        <v>0</v>
      </c>
      <c r="G23" s="86">
        <f t="shared" ref="G23:G32" si="8">(F23*D23)+D23</f>
        <v>1</v>
      </c>
      <c r="H23" s="86">
        <v>0.61399999999999999</v>
      </c>
      <c r="I23" s="87">
        <v>63.5</v>
      </c>
      <c r="J23" s="86">
        <f t="shared" ref="J23:J32" si="9">H23*G23</f>
        <v>0.61399999999999999</v>
      </c>
      <c r="K23" s="87">
        <f t="shared" ref="K23:K32" si="10">I23*J23</f>
        <v>38.988999999999997</v>
      </c>
      <c r="L23" s="87">
        <v>52.69</v>
      </c>
      <c r="M23" s="87">
        <f t="shared" ref="M23:M32" si="11">L23*G23</f>
        <v>52.69</v>
      </c>
      <c r="N23" s="87">
        <v>0</v>
      </c>
      <c r="O23" s="87">
        <f t="shared" ref="O23:O32" si="12">N23*G23</f>
        <v>0</v>
      </c>
      <c r="P23" s="87">
        <f t="shared" ref="P23:P32" si="13">IF(D23="","",(K23+M23+O23))</f>
        <v>91.679000000000002</v>
      </c>
    </row>
    <row r="24" spans="1:16" s="3" customFormat="1" ht="57" x14ac:dyDescent="0.2">
      <c r="A24" s="84">
        <f>IF(D24=0,"",1+MAX(A$12:A23))</f>
        <v>9</v>
      </c>
      <c r="B24" s="29"/>
      <c r="C24" s="53" t="s">
        <v>62</v>
      </c>
      <c r="D24" s="28">
        <v>5</v>
      </c>
      <c r="E24" s="28" t="s">
        <v>55</v>
      </c>
      <c r="F24" s="85">
        <v>0</v>
      </c>
      <c r="G24" s="86">
        <f t="shared" si="8"/>
        <v>5</v>
      </c>
      <c r="H24" s="86">
        <v>0.65800000000000003</v>
      </c>
      <c r="I24" s="87">
        <v>63.5</v>
      </c>
      <c r="J24" s="86">
        <f t="shared" si="9"/>
        <v>3.29</v>
      </c>
      <c r="K24" s="87">
        <f t="shared" si="10"/>
        <v>208.91499999999999</v>
      </c>
      <c r="L24" s="87">
        <v>57.75</v>
      </c>
      <c r="M24" s="87">
        <f t="shared" si="11"/>
        <v>288.75</v>
      </c>
      <c r="N24" s="87">
        <v>0</v>
      </c>
      <c r="O24" s="87">
        <f t="shared" si="12"/>
        <v>0</v>
      </c>
      <c r="P24" s="87">
        <f t="shared" si="13"/>
        <v>497.66499999999996</v>
      </c>
    </row>
    <row r="25" spans="1:16" s="3" customFormat="1" ht="57" x14ac:dyDescent="0.2">
      <c r="A25" s="84">
        <f>IF(D25=0,"",1+MAX(A$12:A24))</f>
        <v>10</v>
      </c>
      <c r="B25" s="29"/>
      <c r="C25" s="53" t="s">
        <v>63</v>
      </c>
      <c r="D25" s="28">
        <v>3</v>
      </c>
      <c r="E25" s="28" t="s">
        <v>55</v>
      </c>
      <c r="F25" s="85">
        <v>0</v>
      </c>
      <c r="G25" s="86">
        <f t="shared" si="8"/>
        <v>3</v>
      </c>
      <c r="H25" s="86">
        <v>0.52900000000000003</v>
      </c>
      <c r="I25" s="87">
        <v>63.5</v>
      </c>
      <c r="J25" s="86">
        <f t="shared" si="9"/>
        <v>1.5870000000000002</v>
      </c>
      <c r="K25" s="87">
        <f t="shared" si="10"/>
        <v>100.77450000000002</v>
      </c>
      <c r="L25" s="87">
        <v>43.88</v>
      </c>
      <c r="M25" s="87">
        <f t="shared" si="11"/>
        <v>131.64000000000001</v>
      </c>
      <c r="N25" s="87">
        <v>0</v>
      </c>
      <c r="O25" s="87">
        <f t="shared" si="12"/>
        <v>0</v>
      </c>
      <c r="P25" s="87">
        <f t="shared" si="13"/>
        <v>232.41450000000003</v>
      </c>
    </row>
    <row r="26" spans="1:16" s="3" customFormat="1" ht="71.25" x14ac:dyDescent="0.2">
      <c r="A26" s="84">
        <f>IF(D26=0,"",1+MAX(A$12:A25))</f>
        <v>11</v>
      </c>
      <c r="B26" s="29"/>
      <c r="C26" s="53" t="s">
        <v>64</v>
      </c>
      <c r="D26" s="28">
        <v>5</v>
      </c>
      <c r="E26" s="28" t="s">
        <v>55</v>
      </c>
      <c r="F26" s="85">
        <v>0</v>
      </c>
      <c r="G26" s="86">
        <f t="shared" si="8"/>
        <v>5</v>
      </c>
      <c r="H26" s="86">
        <v>2.7280000000000002</v>
      </c>
      <c r="I26" s="87">
        <v>63.5</v>
      </c>
      <c r="J26" s="86">
        <f t="shared" si="9"/>
        <v>13.64</v>
      </c>
      <c r="K26" s="87">
        <f t="shared" si="10"/>
        <v>866.14</v>
      </c>
      <c r="L26" s="87">
        <v>300.94</v>
      </c>
      <c r="M26" s="87">
        <f t="shared" si="11"/>
        <v>1504.7</v>
      </c>
      <c r="N26" s="87">
        <v>0</v>
      </c>
      <c r="O26" s="87">
        <f t="shared" si="12"/>
        <v>0</v>
      </c>
      <c r="P26" s="87">
        <f t="shared" si="13"/>
        <v>2370.84</v>
      </c>
    </row>
    <row r="27" spans="1:16" s="3" customFormat="1" ht="57" x14ac:dyDescent="0.2">
      <c r="A27" s="84">
        <f>IF(D27=0,"",1+MAX(A$12:A26))</f>
        <v>12</v>
      </c>
      <c r="B27" s="29"/>
      <c r="C27" s="53" t="s">
        <v>65</v>
      </c>
      <c r="D27" s="28">
        <v>3</v>
      </c>
      <c r="E27" s="28" t="s">
        <v>55</v>
      </c>
      <c r="F27" s="85">
        <v>0</v>
      </c>
      <c r="G27" s="86">
        <f t="shared" si="8"/>
        <v>3</v>
      </c>
      <c r="H27" s="86">
        <v>1.996</v>
      </c>
      <c r="I27" s="87">
        <v>63.5</v>
      </c>
      <c r="J27" s="86">
        <f t="shared" si="9"/>
        <v>5.9879999999999995</v>
      </c>
      <c r="K27" s="87">
        <f t="shared" si="10"/>
        <v>380.23799999999994</v>
      </c>
      <c r="L27" s="87">
        <v>223.31</v>
      </c>
      <c r="M27" s="87">
        <f t="shared" si="11"/>
        <v>669.93000000000006</v>
      </c>
      <c r="N27" s="87">
        <v>0</v>
      </c>
      <c r="O27" s="87">
        <f t="shared" si="12"/>
        <v>0</v>
      </c>
      <c r="P27" s="87">
        <f t="shared" si="13"/>
        <v>1050.1680000000001</v>
      </c>
    </row>
    <row r="28" spans="1:16" s="3" customFormat="1" ht="57" x14ac:dyDescent="0.2">
      <c r="A28" s="84">
        <f>IF(D28=0,"",1+MAX(A$12:A27))</f>
        <v>13</v>
      </c>
      <c r="B28" s="29"/>
      <c r="C28" s="53" t="s">
        <v>66</v>
      </c>
      <c r="D28" s="28">
        <v>3</v>
      </c>
      <c r="E28" s="28" t="s">
        <v>55</v>
      </c>
      <c r="F28" s="85">
        <v>0</v>
      </c>
      <c r="G28" s="86">
        <f t="shared" si="8"/>
        <v>3</v>
      </c>
      <c r="H28" s="86">
        <v>1.859</v>
      </c>
      <c r="I28" s="87">
        <v>63.5</v>
      </c>
      <c r="J28" s="86">
        <f t="shared" si="9"/>
        <v>5.577</v>
      </c>
      <c r="K28" s="87">
        <f t="shared" si="10"/>
        <v>354.1395</v>
      </c>
      <c r="L28" s="87">
        <v>221.44</v>
      </c>
      <c r="M28" s="87">
        <f t="shared" si="11"/>
        <v>664.31999999999994</v>
      </c>
      <c r="N28" s="87">
        <v>0</v>
      </c>
      <c r="O28" s="87">
        <f t="shared" si="12"/>
        <v>0</v>
      </c>
      <c r="P28" s="87">
        <f t="shared" si="13"/>
        <v>1018.4594999999999</v>
      </c>
    </row>
    <row r="29" spans="1:16" s="3" customFormat="1" ht="57" x14ac:dyDescent="0.2">
      <c r="A29" s="84">
        <f>IF(D29=0,"",1+MAX(A$12:A28))</f>
        <v>14</v>
      </c>
      <c r="B29" s="29"/>
      <c r="C29" s="53" t="s">
        <v>67</v>
      </c>
      <c r="D29" s="28">
        <v>5</v>
      </c>
      <c r="E29" s="28" t="s">
        <v>55</v>
      </c>
      <c r="F29" s="85">
        <v>0</v>
      </c>
      <c r="G29" s="86">
        <f t="shared" si="8"/>
        <v>5</v>
      </c>
      <c r="H29" s="86">
        <v>3.391</v>
      </c>
      <c r="I29" s="87">
        <v>63.5</v>
      </c>
      <c r="J29" s="86">
        <f t="shared" si="9"/>
        <v>16.954999999999998</v>
      </c>
      <c r="K29" s="87">
        <f t="shared" si="10"/>
        <v>1076.6424999999999</v>
      </c>
      <c r="L29" s="87">
        <v>387</v>
      </c>
      <c r="M29" s="87">
        <f t="shared" si="11"/>
        <v>1935</v>
      </c>
      <c r="N29" s="87">
        <v>0</v>
      </c>
      <c r="O29" s="87">
        <f t="shared" si="12"/>
        <v>0</v>
      </c>
      <c r="P29" s="87">
        <f t="shared" si="13"/>
        <v>3011.6424999999999</v>
      </c>
    </row>
    <row r="30" spans="1:16" s="3" customFormat="1" ht="57" x14ac:dyDescent="0.2">
      <c r="A30" s="84">
        <f>IF(D30=0,"",1+MAX(A$12:A29))</f>
        <v>15</v>
      </c>
      <c r="B30" s="29"/>
      <c r="C30" s="53" t="s">
        <v>68</v>
      </c>
      <c r="D30" s="28">
        <v>2</v>
      </c>
      <c r="E30" s="28" t="s">
        <v>55</v>
      </c>
      <c r="F30" s="85">
        <v>0</v>
      </c>
      <c r="G30" s="86">
        <f t="shared" si="8"/>
        <v>2</v>
      </c>
      <c r="H30" s="86">
        <v>5.4119999999999999</v>
      </c>
      <c r="I30" s="87">
        <v>63.5</v>
      </c>
      <c r="J30" s="86">
        <f t="shared" si="9"/>
        <v>10.824</v>
      </c>
      <c r="K30" s="87">
        <f t="shared" si="10"/>
        <v>687.32399999999996</v>
      </c>
      <c r="L30" s="87">
        <v>2288.48</v>
      </c>
      <c r="M30" s="87">
        <f t="shared" si="11"/>
        <v>4576.96</v>
      </c>
      <c r="N30" s="87">
        <v>0</v>
      </c>
      <c r="O30" s="87">
        <f t="shared" si="12"/>
        <v>0</v>
      </c>
      <c r="P30" s="87">
        <f t="shared" si="13"/>
        <v>5264.2839999999997</v>
      </c>
    </row>
    <row r="31" spans="1:16" s="3" customFormat="1" ht="57" x14ac:dyDescent="0.2">
      <c r="A31" s="84">
        <f>IF(D31=0,"",1+MAX(A$12:A30))</f>
        <v>16</v>
      </c>
      <c r="B31" s="29"/>
      <c r="C31" s="53" t="s">
        <v>69</v>
      </c>
      <c r="D31" s="28">
        <v>6</v>
      </c>
      <c r="E31" s="28" t="s">
        <v>55</v>
      </c>
      <c r="F31" s="85">
        <v>0</v>
      </c>
      <c r="G31" s="86">
        <f t="shared" si="8"/>
        <v>6</v>
      </c>
      <c r="H31" s="86">
        <v>1.214</v>
      </c>
      <c r="I31" s="87">
        <v>63.5</v>
      </c>
      <c r="J31" s="86">
        <f t="shared" si="9"/>
        <v>7.2839999999999998</v>
      </c>
      <c r="K31" s="87">
        <f t="shared" si="10"/>
        <v>462.53399999999999</v>
      </c>
      <c r="L31" s="87">
        <v>105.75</v>
      </c>
      <c r="M31" s="87">
        <f t="shared" si="11"/>
        <v>634.5</v>
      </c>
      <c r="N31" s="87">
        <v>0</v>
      </c>
      <c r="O31" s="87">
        <f t="shared" si="12"/>
        <v>0</v>
      </c>
      <c r="P31" s="87">
        <f t="shared" si="13"/>
        <v>1097.0340000000001</v>
      </c>
    </row>
    <row r="32" spans="1:16" s="3" customFormat="1" ht="15" x14ac:dyDescent="0.2">
      <c r="A32" s="84">
        <f>IF(D32=0,"",1+MAX(A$12:A31))</f>
        <v>17</v>
      </c>
      <c r="B32" s="29"/>
      <c r="C32" s="53" t="s">
        <v>70</v>
      </c>
      <c r="D32" s="28">
        <v>2</v>
      </c>
      <c r="E32" s="28" t="s">
        <v>55</v>
      </c>
      <c r="F32" s="85">
        <v>0</v>
      </c>
      <c r="G32" s="86">
        <f t="shared" si="8"/>
        <v>2</v>
      </c>
      <c r="H32" s="86">
        <v>1.8740000000000001</v>
      </c>
      <c r="I32" s="87">
        <v>63.5</v>
      </c>
      <c r="J32" s="86">
        <f t="shared" si="9"/>
        <v>3.7480000000000002</v>
      </c>
      <c r="K32" s="87">
        <f t="shared" si="10"/>
        <v>237.99800000000002</v>
      </c>
      <c r="L32" s="87">
        <v>221.55</v>
      </c>
      <c r="M32" s="87">
        <f t="shared" si="11"/>
        <v>443.1</v>
      </c>
      <c r="N32" s="87">
        <v>0</v>
      </c>
      <c r="O32" s="87">
        <f t="shared" si="12"/>
        <v>0</v>
      </c>
      <c r="P32" s="87">
        <f t="shared" si="13"/>
        <v>681.09800000000007</v>
      </c>
    </row>
    <row r="33" spans="1:16" s="3" customFormat="1" ht="15" x14ac:dyDescent="0.2">
      <c r="A33" s="84" t="str">
        <f>IF(E33=0,"",1+MAX(A20:A23))</f>
        <v/>
      </c>
      <c r="B33" s="29"/>
      <c r="C33" s="78" t="s">
        <v>71</v>
      </c>
      <c r="D33" s="28"/>
      <c r="E33" s="28"/>
      <c r="F33" s="85"/>
      <c r="G33" s="86"/>
      <c r="H33" s="86"/>
      <c r="I33" s="87"/>
      <c r="J33" s="86"/>
      <c r="K33" s="87"/>
      <c r="L33" s="87"/>
      <c r="M33" s="87"/>
      <c r="N33" s="87"/>
      <c r="O33" s="87"/>
      <c r="P33" s="87"/>
    </row>
    <row r="34" spans="1:16" s="3" customFormat="1" ht="57" x14ac:dyDescent="0.2">
      <c r="A34" s="27">
        <f>IF(D34=0,"",1+MAX(A$12:A33))</f>
        <v>18</v>
      </c>
      <c r="B34" s="29"/>
      <c r="C34" s="53" t="s">
        <v>72</v>
      </c>
      <c r="D34" s="28">
        <v>1</v>
      </c>
      <c r="E34" s="28" t="s">
        <v>55</v>
      </c>
      <c r="F34" s="85">
        <v>0</v>
      </c>
      <c r="G34" s="86">
        <f t="shared" ref="G34:G37" si="14">(F34*D34)+D34</f>
        <v>1</v>
      </c>
      <c r="H34" s="86">
        <v>1.129</v>
      </c>
      <c r="I34" s="87">
        <v>63.5</v>
      </c>
      <c r="J34" s="86">
        <f t="shared" ref="J34:J37" si="15">H34*G34</f>
        <v>1.129</v>
      </c>
      <c r="K34" s="87">
        <f t="shared" ref="K34:K37" si="16">I34*J34</f>
        <v>71.691500000000005</v>
      </c>
      <c r="L34" s="87">
        <v>47.5</v>
      </c>
      <c r="M34" s="87">
        <f t="shared" ref="M34:M37" si="17">L34*G34</f>
        <v>47.5</v>
      </c>
      <c r="N34" s="87">
        <v>0</v>
      </c>
      <c r="O34" s="87">
        <f t="shared" ref="O34:O37" si="18">N34*G34</f>
        <v>0</v>
      </c>
      <c r="P34" s="87">
        <f t="shared" ref="P34:P37" si="19">IF(D34="","",(K34+M34+O34))</f>
        <v>119.1915</v>
      </c>
    </row>
    <row r="35" spans="1:16" s="3" customFormat="1" ht="57" x14ac:dyDescent="0.2">
      <c r="A35" s="96">
        <f>IF(D35=0,"",1+MAX(A$12:A34))</f>
        <v>19</v>
      </c>
      <c r="B35" s="29"/>
      <c r="C35" s="53" t="s">
        <v>73</v>
      </c>
      <c r="D35" s="28">
        <v>1</v>
      </c>
      <c r="E35" s="28" t="s">
        <v>55</v>
      </c>
      <c r="F35" s="85">
        <v>0</v>
      </c>
      <c r="G35" s="86">
        <f t="shared" si="14"/>
        <v>1</v>
      </c>
      <c r="H35" s="86">
        <v>1.129</v>
      </c>
      <c r="I35" s="87">
        <v>63.5</v>
      </c>
      <c r="J35" s="86">
        <f t="shared" si="15"/>
        <v>1.129</v>
      </c>
      <c r="K35" s="87">
        <f t="shared" si="16"/>
        <v>71.691500000000005</v>
      </c>
      <c r="L35" s="87">
        <v>47.5</v>
      </c>
      <c r="M35" s="87">
        <f t="shared" si="17"/>
        <v>47.5</v>
      </c>
      <c r="N35" s="87">
        <v>0</v>
      </c>
      <c r="O35" s="87">
        <f t="shared" si="18"/>
        <v>0</v>
      </c>
      <c r="P35" s="87">
        <f t="shared" si="19"/>
        <v>119.1915</v>
      </c>
    </row>
    <row r="36" spans="1:16" s="3" customFormat="1" ht="57" x14ac:dyDescent="0.2">
      <c r="A36" s="96">
        <f>IF(D36=0,"",1+MAX(A$12:A35))</f>
        <v>20</v>
      </c>
      <c r="B36" s="29"/>
      <c r="C36" s="53" t="s">
        <v>74</v>
      </c>
      <c r="D36" s="28">
        <v>1</v>
      </c>
      <c r="E36" s="28" t="s">
        <v>55</v>
      </c>
      <c r="F36" s="85">
        <v>0</v>
      </c>
      <c r="G36" s="86">
        <f t="shared" si="14"/>
        <v>1</v>
      </c>
      <c r="H36" s="86">
        <v>1.3740000000000001</v>
      </c>
      <c r="I36" s="87">
        <v>63.5</v>
      </c>
      <c r="J36" s="86">
        <f t="shared" si="15"/>
        <v>1.3740000000000001</v>
      </c>
      <c r="K36" s="87">
        <f t="shared" si="16"/>
        <v>87.249000000000009</v>
      </c>
      <c r="L36" s="87">
        <v>56.95</v>
      </c>
      <c r="M36" s="87">
        <f t="shared" si="17"/>
        <v>56.95</v>
      </c>
      <c r="N36" s="87">
        <v>0</v>
      </c>
      <c r="O36" s="87">
        <f t="shared" si="18"/>
        <v>0</v>
      </c>
      <c r="P36" s="87">
        <f t="shared" si="19"/>
        <v>144.19900000000001</v>
      </c>
    </row>
    <row r="37" spans="1:16" s="3" customFormat="1" ht="15" x14ac:dyDescent="0.2">
      <c r="A37" s="96">
        <f>IF(D37=0,"",1+MAX(A$12:A36))</f>
        <v>21</v>
      </c>
      <c r="B37" s="29"/>
      <c r="C37" s="53" t="s">
        <v>75</v>
      </c>
      <c r="D37" s="28">
        <v>1</v>
      </c>
      <c r="E37" s="28" t="s">
        <v>55</v>
      </c>
      <c r="F37" s="85">
        <v>0</v>
      </c>
      <c r="G37" s="86">
        <f t="shared" si="14"/>
        <v>1</v>
      </c>
      <c r="H37" s="86">
        <v>1.256</v>
      </c>
      <c r="I37" s="87">
        <v>63.5</v>
      </c>
      <c r="J37" s="86">
        <f t="shared" si="15"/>
        <v>1.256</v>
      </c>
      <c r="K37" s="87">
        <f t="shared" si="16"/>
        <v>79.756</v>
      </c>
      <c r="L37" s="87">
        <v>52.68</v>
      </c>
      <c r="M37" s="87">
        <f t="shared" si="17"/>
        <v>52.68</v>
      </c>
      <c r="N37" s="87">
        <v>0</v>
      </c>
      <c r="O37" s="87">
        <f t="shared" si="18"/>
        <v>0</v>
      </c>
      <c r="P37" s="87">
        <f t="shared" si="19"/>
        <v>132.43600000000001</v>
      </c>
    </row>
    <row r="38" spans="1:16" s="3" customFormat="1" ht="15" x14ac:dyDescent="0.2">
      <c r="A38" s="84" t="str">
        <f>IF(E38=0,"",1+MAX(A20:A34))</f>
        <v/>
      </c>
      <c r="B38" s="29"/>
      <c r="C38" s="78" t="s">
        <v>60</v>
      </c>
      <c r="D38" s="28"/>
      <c r="E38" s="28"/>
      <c r="F38" s="85"/>
      <c r="G38" s="86"/>
      <c r="H38" s="86"/>
      <c r="I38" s="87"/>
      <c r="J38" s="86"/>
      <c r="K38" s="87"/>
      <c r="L38" s="87"/>
      <c r="M38" s="87"/>
      <c r="N38" s="87"/>
      <c r="O38" s="87"/>
      <c r="P38" s="87"/>
    </row>
    <row r="39" spans="1:16" s="3" customFormat="1" ht="15" x14ac:dyDescent="0.2">
      <c r="A39" s="96">
        <f>IF(D39=0,"",1+MAX(A$12:A38))</f>
        <v>22</v>
      </c>
      <c r="B39" s="29"/>
      <c r="C39" s="53" t="s">
        <v>76</v>
      </c>
      <c r="D39" s="28">
        <v>2</v>
      </c>
      <c r="E39" s="28" t="s">
        <v>55</v>
      </c>
      <c r="F39" s="85">
        <v>0</v>
      </c>
      <c r="G39" s="86">
        <f t="shared" ref="G39:G41" si="20">(F39*D39)+D39</f>
        <v>2</v>
      </c>
      <c r="H39" s="86">
        <v>1.379</v>
      </c>
      <c r="I39" s="87">
        <v>63.5</v>
      </c>
      <c r="J39" s="86">
        <f t="shared" ref="J39:J41" si="21">H39*G39</f>
        <v>2.758</v>
      </c>
      <c r="K39" s="87">
        <f t="shared" ref="K39:K41" si="22">I39*J39</f>
        <v>175.13300000000001</v>
      </c>
      <c r="L39" s="87">
        <v>129.94999999999999</v>
      </c>
      <c r="M39" s="87">
        <f t="shared" ref="M39:M41" si="23">L39*G39</f>
        <v>259.89999999999998</v>
      </c>
      <c r="N39" s="87">
        <v>0</v>
      </c>
      <c r="O39" s="87">
        <f t="shared" ref="O39:O41" si="24">N39*G39</f>
        <v>0</v>
      </c>
      <c r="P39" s="87">
        <f t="shared" ref="P39:P41" si="25">IF(D39="","",(K39+M39+O39))</f>
        <v>435.03300000000002</v>
      </c>
    </row>
    <row r="40" spans="1:16" s="3" customFormat="1" ht="15" x14ac:dyDescent="0.2">
      <c r="A40" s="96">
        <f>IF(D40=0,"",1+MAX(A$12:A39))</f>
        <v>23</v>
      </c>
      <c r="B40" s="29"/>
      <c r="C40" s="53" t="s">
        <v>77</v>
      </c>
      <c r="D40" s="28">
        <v>2</v>
      </c>
      <c r="E40" s="28" t="s">
        <v>55</v>
      </c>
      <c r="F40" s="85">
        <v>0</v>
      </c>
      <c r="G40" s="86">
        <f t="shared" si="20"/>
        <v>2</v>
      </c>
      <c r="H40" s="86">
        <v>1.528</v>
      </c>
      <c r="I40" s="87">
        <v>63.5</v>
      </c>
      <c r="J40" s="86">
        <f t="shared" si="21"/>
        <v>3.056</v>
      </c>
      <c r="K40" s="87">
        <f t="shared" si="22"/>
        <v>194.05600000000001</v>
      </c>
      <c r="L40" s="87">
        <v>229</v>
      </c>
      <c r="M40" s="87">
        <f t="shared" si="23"/>
        <v>458</v>
      </c>
      <c r="N40" s="87">
        <v>0</v>
      </c>
      <c r="O40" s="87">
        <f t="shared" si="24"/>
        <v>0</v>
      </c>
      <c r="P40" s="87">
        <f t="shared" si="25"/>
        <v>652.05600000000004</v>
      </c>
    </row>
    <row r="41" spans="1:16" s="3" customFormat="1" ht="57" x14ac:dyDescent="0.2">
      <c r="A41" s="96">
        <f>IF(D41=0,"",1+MAX(A$12:A40))</f>
        <v>24</v>
      </c>
      <c r="B41" s="29"/>
      <c r="C41" s="53" t="s">
        <v>78</v>
      </c>
      <c r="D41" s="28">
        <v>42</v>
      </c>
      <c r="E41" s="28" t="s">
        <v>55</v>
      </c>
      <c r="F41" s="85">
        <v>0</v>
      </c>
      <c r="G41" s="86">
        <f t="shared" si="20"/>
        <v>42</v>
      </c>
      <c r="H41" s="86">
        <v>1.1040000000000001</v>
      </c>
      <c r="I41" s="87">
        <v>63.5</v>
      </c>
      <c r="J41" s="86">
        <f t="shared" si="21"/>
        <v>46.368000000000002</v>
      </c>
      <c r="K41" s="87">
        <f t="shared" si="22"/>
        <v>2944.3679999999999</v>
      </c>
      <c r="L41" s="87">
        <v>71.61</v>
      </c>
      <c r="M41" s="87">
        <f t="shared" si="23"/>
        <v>3007.62</v>
      </c>
      <c r="N41" s="87">
        <v>0</v>
      </c>
      <c r="O41" s="87">
        <f t="shared" si="24"/>
        <v>0</v>
      </c>
      <c r="P41" s="87">
        <f t="shared" si="25"/>
        <v>5951.9879999999994</v>
      </c>
    </row>
    <row r="42" spans="1:16" s="94" customFormat="1" ht="18" customHeight="1" x14ac:dyDescent="0.2">
      <c r="A42" s="106" t="str">
        <f>IF(E42=0,"",1+MAX(A22:A39))</f>
        <v/>
      </c>
      <c r="B42" s="107"/>
      <c r="C42" s="108"/>
      <c r="D42" s="109"/>
      <c r="E42" s="109"/>
      <c r="F42" s="109"/>
      <c r="G42" s="110"/>
      <c r="H42" s="109"/>
      <c r="I42" s="109"/>
      <c r="J42" s="109"/>
      <c r="K42" s="109"/>
      <c r="L42" s="109"/>
      <c r="M42" s="109"/>
      <c r="N42" s="109"/>
      <c r="O42" s="109" t="s">
        <v>24</v>
      </c>
      <c r="P42" s="111">
        <f>SUM(P22:P41)</f>
        <v>22869.379500000003</v>
      </c>
    </row>
    <row r="43" spans="1:16" ht="18" customHeight="1" x14ac:dyDescent="0.2">
      <c r="A43" s="130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69"/>
      <c r="O43" s="69"/>
      <c r="P43" s="26"/>
    </row>
    <row r="44" spans="1:16" s="95" customFormat="1" ht="20.100000000000001" customHeight="1" x14ac:dyDescent="0.2">
      <c r="A44" s="134" t="s">
        <v>12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12"/>
      <c r="P44" s="113">
        <f>SUM(P11:P43)/2</f>
        <v>26032.214684850005</v>
      </c>
    </row>
    <row r="45" spans="1:16" s="95" customFormat="1" ht="20.100000000000001" customHeight="1" x14ac:dyDescent="0.2">
      <c r="A45" s="134" t="s">
        <v>20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12">
        <v>0.2</v>
      </c>
      <c r="P45" s="113">
        <f>$P$44*O45</f>
        <v>5206.442936970001</v>
      </c>
    </row>
    <row r="46" spans="1:16" s="95" customFormat="1" ht="20.100000000000001" customHeight="1" x14ac:dyDescent="0.2">
      <c r="A46" s="134" t="s">
        <v>5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12">
        <v>0.03</v>
      </c>
      <c r="P46" s="113">
        <f>$P$44*O46</f>
        <v>780.96644054550018</v>
      </c>
    </row>
    <row r="47" spans="1:16" s="95" customFormat="1" ht="20.100000000000001" customHeight="1" x14ac:dyDescent="0.2">
      <c r="A47" s="134" t="s">
        <v>18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12">
        <v>0.05</v>
      </c>
      <c r="P47" s="113">
        <f>$P$44*O47</f>
        <v>1301.6107342425003</v>
      </c>
    </row>
    <row r="48" spans="1:16" s="94" customFormat="1" ht="20.100000000000001" customHeight="1" x14ac:dyDescent="0.2">
      <c r="A48" s="132" t="s">
        <v>13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14"/>
      <c r="O48" s="114"/>
      <c r="P48" s="115">
        <f>SUM(P44:P47)</f>
        <v>33321.234796608005</v>
      </c>
    </row>
    <row r="49" spans="1:16" ht="20.100000000000001" customHeight="1" x14ac:dyDescent="0.2">
      <c r="A49" s="67" t="s">
        <v>40</v>
      </c>
      <c r="B49" s="11"/>
      <c r="C49" s="30"/>
      <c r="D49" s="31"/>
      <c r="E49" s="30"/>
      <c r="F49" s="31"/>
      <c r="G49" s="48"/>
      <c r="H49" s="30"/>
      <c r="I49" s="30"/>
      <c r="J49" s="30"/>
      <c r="K49" s="30"/>
      <c r="L49" s="30"/>
      <c r="M49" s="30"/>
      <c r="N49" s="30"/>
      <c r="O49" s="30"/>
      <c r="P49" s="32"/>
    </row>
    <row r="50" spans="1:16" ht="30" customHeight="1" x14ac:dyDescent="0.2">
      <c r="A50" s="63"/>
      <c r="B50" s="126" t="s">
        <v>58</v>
      </c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52"/>
    </row>
    <row r="51" spans="1:16" ht="20.100000000000001" customHeight="1" x14ac:dyDescent="0.2">
      <c r="A51" s="63"/>
      <c r="B51" s="64"/>
      <c r="C51" s="65"/>
      <c r="D51" s="66"/>
      <c r="E51" s="30"/>
      <c r="F51" s="31"/>
      <c r="G51" s="48"/>
      <c r="H51" s="30"/>
      <c r="I51" s="30"/>
      <c r="J51" s="30"/>
      <c r="K51" s="30"/>
      <c r="L51" s="30"/>
      <c r="M51" s="30"/>
      <c r="N51" s="30"/>
      <c r="O51" s="30"/>
      <c r="P51" s="32"/>
    </row>
    <row r="52" spans="1:16" ht="20.100000000000001" customHeight="1" x14ac:dyDescent="0.2">
      <c r="A52" s="63"/>
      <c r="C52" s="70" t="s">
        <v>42</v>
      </c>
      <c r="D52" s="7"/>
      <c r="F52" s="30"/>
      <c r="G52" s="30"/>
      <c r="H52" s="30"/>
      <c r="M52" s="70" t="s">
        <v>43</v>
      </c>
      <c r="N52" s="31"/>
      <c r="O52" s="30"/>
      <c r="P52" s="32"/>
    </row>
    <row r="53" spans="1:16" ht="19.7" customHeight="1" x14ac:dyDescent="0.2">
      <c r="A53" s="71"/>
      <c r="B53" s="7">
        <v>1</v>
      </c>
      <c r="C53" s="72" t="s">
        <v>44</v>
      </c>
      <c r="D53" s="7"/>
      <c r="F53" s="30"/>
      <c r="G53" s="30"/>
      <c r="H53" s="30"/>
      <c r="M53" s="73" t="s">
        <v>52</v>
      </c>
      <c r="N53" s="31"/>
      <c r="O53" s="30"/>
      <c r="P53" s="52"/>
    </row>
    <row r="54" spans="1:16" ht="20.100000000000001" customHeight="1" x14ac:dyDescent="0.2">
      <c r="A54" s="63"/>
      <c r="C54" s="73"/>
      <c r="D54" s="73"/>
      <c r="F54" s="30"/>
      <c r="G54" s="30"/>
      <c r="H54" s="30"/>
      <c r="M54" s="73" t="s">
        <v>45</v>
      </c>
      <c r="N54" s="31"/>
      <c r="O54" s="30"/>
      <c r="P54" s="52"/>
    </row>
    <row r="55" spans="1:16" ht="20.100000000000001" customHeight="1" x14ac:dyDescent="0.2">
      <c r="A55" s="63"/>
      <c r="D55" s="66"/>
      <c r="F55" s="30"/>
      <c r="G55" s="30"/>
      <c r="H55" s="30"/>
      <c r="M55" s="73" t="s">
        <v>46</v>
      </c>
      <c r="N55" s="74"/>
      <c r="O55" s="30"/>
      <c r="P55" s="32"/>
    </row>
    <row r="56" spans="1:16" ht="20.100000000000001" customHeight="1" x14ac:dyDescent="0.2">
      <c r="A56" s="63"/>
      <c r="C56" s="75"/>
      <c r="D56" s="66"/>
      <c r="F56" s="30"/>
      <c r="G56" s="30"/>
      <c r="H56" s="30"/>
      <c r="M56" s="73" t="s">
        <v>47</v>
      </c>
      <c r="N56" s="14"/>
      <c r="O56" s="30"/>
      <c r="P56" s="32"/>
    </row>
    <row r="57" spans="1:16" ht="20.100000000000001" customHeight="1" x14ac:dyDescent="0.2">
      <c r="A57" s="63"/>
      <c r="D57" s="66"/>
      <c r="F57" s="30"/>
      <c r="G57" s="30"/>
      <c r="H57" s="30"/>
      <c r="M57" s="73" t="s">
        <v>48</v>
      </c>
      <c r="N57" s="14"/>
      <c r="O57" s="30"/>
      <c r="P57" s="52"/>
    </row>
    <row r="58" spans="1:16" ht="20.100000000000001" customHeight="1" x14ac:dyDescent="0.2">
      <c r="A58" s="63"/>
      <c r="C58" s="65"/>
      <c r="D58" s="66"/>
      <c r="J58" s="30"/>
      <c r="K58" s="30"/>
      <c r="L58" s="30"/>
      <c r="M58" s="73" t="s">
        <v>49</v>
      </c>
      <c r="N58" s="14"/>
      <c r="O58" s="30"/>
      <c r="P58" s="52"/>
    </row>
    <row r="59" spans="1:16" ht="20.100000000000001" customHeight="1" x14ac:dyDescent="0.2">
      <c r="A59" s="63"/>
      <c r="C59" s="65"/>
      <c r="D59" s="66"/>
      <c r="J59" s="30"/>
      <c r="K59" s="30"/>
      <c r="L59" s="30"/>
      <c r="M59" s="73" t="s">
        <v>50</v>
      </c>
      <c r="N59" s="14"/>
      <c r="O59" s="30"/>
      <c r="P59" s="32"/>
    </row>
    <row r="60" spans="1:16" ht="20.100000000000001" customHeight="1" x14ac:dyDescent="0.2">
      <c r="A60" s="63"/>
      <c r="C60" s="65"/>
      <c r="D60" s="66"/>
      <c r="J60" s="30"/>
      <c r="K60" s="30"/>
      <c r="L60" s="30"/>
      <c r="M60" s="73" t="s">
        <v>51</v>
      </c>
      <c r="N60" s="14"/>
      <c r="O60" s="30"/>
      <c r="P60" s="32"/>
    </row>
    <row r="61" spans="1:16" ht="15.75" customHeight="1" x14ac:dyDescent="0.2">
      <c r="A61" s="63"/>
      <c r="B61" s="64"/>
      <c r="C61" s="65"/>
      <c r="D61" s="66"/>
      <c r="E61" s="30"/>
      <c r="F61" s="31"/>
      <c r="G61" s="48"/>
      <c r="H61" s="30"/>
      <c r="I61" s="30"/>
      <c r="J61" s="30"/>
      <c r="K61" s="30"/>
      <c r="L61" s="30"/>
      <c r="M61" s="30"/>
      <c r="N61" s="30"/>
      <c r="O61" s="30"/>
      <c r="P61" s="52"/>
    </row>
    <row r="62" spans="1:16" ht="15.75" customHeight="1" thickBot="1" x14ac:dyDescent="0.25">
      <c r="A62" s="12"/>
      <c r="B62" s="13"/>
      <c r="C62" s="33"/>
      <c r="D62" s="34"/>
      <c r="E62" s="33"/>
      <c r="F62" s="34"/>
      <c r="G62" s="49"/>
      <c r="H62" s="33"/>
      <c r="I62" s="33"/>
      <c r="J62" s="33"/>
      <c r="K62" s="33"/>
      <c r="L62" s="33"/>
      <c r="M62" s="33"/>
      <c r="N62" s="33"/>
      <c r="O62" s="33"/>
      <c r="P62" s="35"/>
    </row>
  </sheetData>
  <mergeCells count="21">
    <mergeCell ref="K3:L3"/>
    <mergeCell ref="M3:N3"/>
    <mergeCell ref="M4:N4"/>
    <mergeCell ref="K4:L4"/>
    <mergeCell ref="K7:L7"/>
    <mergeCell ref="K6:L6"/>
    <mergeCell ref="K5:L5"/>
    <mergeCell ref="B50:O50"/>
    <mergeCell ref="K8:L8"/>
    <mergeCell ref="M5:N5"/>
    <mergeCell ref="M6:N6"/>
    <mergeCell ref="M8:N8"/>
    <mergeCell ref="M7:N7"/>
    <mergeCell ref="A43:M43"/>
    <mergeCell ref="A48:M48"/>
    <mergeCell ref="A44:N44"/>
    <mergeCell ref="A45:N45"/>
    <mergeCell ref="A46:N46"/>
    <mergeCell ref="A47:N47"/>
    <mergeCell ref="B11:O11"/>
    <mergeCell ref="B21:O21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2025-12-23T14:54:09Z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