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305" activeTab="1"/>
  </bookViews>
  <sheets>
    <sheet name="SUMMARY" sheetId="3" r:id="rId1"/>
    <sheet name="MATERIAL TAKE-OFF" sheetId="1" r:id="rId2"/>
  </sheets>
  <definedNames>
    <definedName name="_xlnm._FilterDatabase" localSheetId="1" hidden="1">'MATERIAL TAKE-OFF'!$A$10:$P$19</definedName>
    <definedName name="_xlnm.Print_Area" localSheetId="1">'MATERIAL TAKE-OFF'!$A$2:$P$57</definedName>
    <definedName name="_xlnm.Print_Titles" localSheetId="1">'MATERIAL TAKE-OFF'!$1:$10</definedName>
  </definedNames>
  <calcPr calcId="145621"/>
  <fileRecoveryPr autoRecover="0"/>
</workbook>
</file>

<file path=xl/calcChain.xml><?xml version="1.0" encoding="utf-8"?>
<calcChain xmlns="http://schemas.openxmlformats.org/spreadsheetml/2006/main">
  <c r="G18" i="1" l="1"/>
  <c r="O18" i="1" s="1"/>
  <c r="G17" i="1"/>
  <c r="O17" i="1" s="1"/>
  <c r="G16" i="1"/>
  <c r="O16" i="1" s="1"/>
  <c r="G15" i="1"/>
  <c r="O15" i="1" s="1"/>
  <c r="G14" i="1"/>
  <c r="O14" i="1" s="1"/>
  <c r="G13" i="1"/>
  <c r="O13" i="1" s="1"/>
  <c r="A13" i="1"/>
  <c r="G12" i="1"/>
  <c r="O12" i="1" s="1"/>
  <c r="G34" i="1"/>
  <c r="O34" i="1" s="1"/>
  <c r="G26" i="1"/>
  <c r="O26" i="1" s="1"/>
  <c r="G25" i="1"/>
  <c r="M25" i="1" s="1"/>
  <c r="G24" i="1"/>
  <c r="O24" i="1" s="1"/>
  <c r="G32" i="1"/>
  <c r="J32" i="1" s="1"/>
  <c r="K32" i="1" s="1"/>
  <c r="G31" i="1"/>
  <c r="J31" i="1" s="1"/>
  <c r="K31" i="1" s="1"/>
  <c r="G36" i="1"/>
  <c r="O36" i="1" s="1"/>
  <c r="G35" i="1"/>
  <c r="O35" i="1" s="1"/>
  <c r="G30" i="1"/>
  <c r="M30" i="1" s="1"/>
  <c r="G29" i="1"/>
  <c r="O29" i="1" s="1"/>
  <c r="G28" i="1"/>
  <c r="M28" i="1" s="1"/>
  <c r="G23" i="1"/>
  <c r="O23" i="1" s="1"/>
  <c r="M24" i="1" l="1"/>
  <c r="M32" i="1"/>
  <c r="J24" i="1"/>
  <c r="K24" i="1" s="1"/>
  <c r="A14" i="1"/>
  <c r="A15" i="1" s="1"/>
  <c r="A16" i="1" s="1"/>
  <c r="A17" i="1" s="1"/>
  <c r="A18" i="1" s="1"/>
  <c r="M12" i="1"/>
  <c r="M13" i="1"/>
  <c r="M14" i="1"/>
  <c r="M15" i="1"/>
  <c r="M16" i="1"/>
  <c r="M17" i="1"/>
  <c r="M18" i="1"/>
  <c r="O31" i="1"/>
  <c r="O28" i="1"/>
  <c r="M31" i="1"/>
  <c r="O25" i="1"/>
  <c r="J30" i="1"/>
  <c r="K30" i="1" s="1"/>
  <c r="M29" i="1"/>
  <c r="O30" i="1"/>
  <c r="J34" i="1"/>
  <c r="K34" i="1" s="1"/>
  <c r="M34" i="1"/>
  <c r="J36" i="1"/>
  <c r="K36" i="1" s="1"/>
  <c r="J35" i="1"/>
  <c r="K35" i="1" s="1"/>
  <c r="O32" i="1"/>
  <c r="P32" i="1" s="1"/>
  <c r="M36" i="1"/>
  <c r="J29" i="1"/>
  <c r="K29" i="1" s="1"/>
  <c r="P29" i="1" s="1"/>
  <c r="M35" i="1"/>
  <c r="J26" i="1"/>
  <c r="K26" i="1" s="1"/>
  <c r="J28" i="1"/>
  <c r="K28" i="1" s="1"/>
  <c r="J25" i="1"/>
  <c r="K25" i="1" s="1"/>
  <c r="M26" i="1"/>
  <c r="J23" i="1"/>
  <c r="K23" i="1" s="1"/>
  <c r="M23" i="1"/>
  <c r="P24" i="1" l="1"/>
  <c r="P31" i="1"/>
  <c r="P34" i="1"/>
  <c r="P28" i="1"/>
  <c r="P25" i="1"/>
  <c r="P35" i="1"/>
  <c r="P26" i="1"/>
  <c r="P30" i="1"/>
  <c r="P36" i="1"/>
  <c r="P23" i="1"/>
  <c r="P37" i="1" l="1"/>
  <c r="Q12" i="1" s="1"/>
  <c r="A19" i="1"/>
  <c r="A20" i="1"/>
  <c r="A21" i="1"/>
  <c r="A22" i="1"/>
  <c r="A33" i="1"/>
  <c r="A37" i="1"/>
  <c r="A23" i="1" l="1"/>
  <c r="A27" i="1" s="1"/>
  <c r="C12" i="3" l="1"/>
  <c r="D12" i="3" s="1"/>
  <c r="H15" i="1" l="1"/>
  <c r="J15" i="1" s="1"/>
  <c r="K15" i="1" s="1"/>
  <c r="P15" i="1" s="1"/>
  <c r="H18" i="1"/>
  <c r="J18" i="1" s="1"/>
  <c r="K18" i="1" s="1"/>
  <c r="P18" i="1" s="1"/>
  <c r="H14" i="1"/>
  <c r="J14" i="1" s="1"/>
  <c r="K14" i="1" s="1"/>
  <c r="P14" i="1" s="1"/>
  <c r="H13" i="1"/>
  <c r="J13" i="1" s="1"/>
  <c r="K13" i="1" s="1"/>
  <c r="P13" i="1" s="1"/>
  <c r="H16" i="1"/>
  <c r="J16" i="1" s="1"/>
  <c r="K16" i="1" s="1"/>
  <c r="P16" i="1" s="1"/>
  <c r="H12" i="1"/>
  <c r="J12" i="1" s="1"/>
  <c r="K12" i="1" s="1"/>
  <c r="P12" i="1" s="1"/>
  <c r="H17" i="1"/>
  <c r="J17" i="1" s="1"/>
  <c r="K17" i="1" s="1"/>
  <c r="P17" i="1" s="1"/>
  <c r="P19" i="1" l="1"/>
  <c r="C11" i="3" s="1"/>
  <c r="P39" i="1" l="1"/>
  <c r="P41" i="1" s="1"/>
  <c r="C13" i="3"/>
  <c r="D11" i="3"/>
  <c r="D13" i="3" s="1"/>
  <c r="P42" i="1" l="1"/>
  <c r="P40" i="1"/>
  <c r="D15" i="3"/>
  <c r="D16" i="3"/>
  <c r="D17" i="3"/>
  <c r="C16" i="3"/>
  <c r="C17" i="3"/>
  <c r="C15" i="3"/>
  <c r="P43" i="1" l="1"/>
  <c r="C18" i="3"/>
  <c r="D18" i="3"/>
  <c r="A35" i="1"/>
  <c r="A25" i="1"/>
  <c r="A31" i="1"/>
  <c r="A32" i="1"/>
  <c r="A34" i="1"/>
  <c r="A30" i="1"/>
  <c r="A26" i="1"/>
  <c r="A29" i="1"/>
  <c r="A28" i="1"/>
  <c r="A24" i="1"/>
  <c r="A36" i="1"/>
</calcChain>
</file>

<file path=xl/sharedStrings.xml><?xml version="1.0" encoding="utf-8"?>
<sst xmlns="http://schemas.openxmlformats.org/spreadsheetml/2006/main" count="100" uniqueCount="77">
  <si>
    <t>DESCRIPTION</t>
  </si>
  <si>
    <t>QUANTITY</t>
  </si>
  <si>
    <t>UNIT</t>
  </si>
  <si>
    <t>Mobilization Costs</t>
  </si>
  <si>
    <t>Temporary Control &amp; Facilities</t>
  </si>
  <si>
    <t>INSURANCE</t>
  </si>
  <si>
    <t>LS</t>
  </si>
  <si>
    <t>SR #</t>
  </si>
  <si>
    <t>Supervision and Coordination</t>
  </si>
  <si>
    <t>Final Cleaning</t>
  </si>
  <si>
    <t>Submittals and Shop drawings</t>
  </si>
  <si>
    <t>SUB COST</t>
  </si>
  <si>
    <t>PROJECTED COST</t>
  </si>
  <si>
    <t>SUGGESTED BID</t>
  </si>
  <si>
    <t>Scaffolding</t>
  </si>
  <si>
    <t>DIVISION NO.</t>
  </si>
  <si>
    <t>TOTAL DIV. COST</t>
  </si>
  <si>
    <t>General Requirements</t>
  </si>
  <si>
    <t>CONTINGENCY</t>
  </si>
  <si>
    <t>Date:</t>
  </si>
  <si>
    <t>OVERHEAD AND PROFIT</t>
  </si>
  <si>
    <t>Scope:</t>
  </si>
  <si>
    <t>WASTAGE</t>
  </si>
  <si>
    <t>QUANTITY W/ WASTAGE</t>
  </si>
  <si>
    <t>SUBTOTAL</t>
  </si>
  <si>
    <t>REF</t>
  </si>
  <si>
    <t xml:space="preserve">Project: </t>
  </si>
  <si>
    <t>MATERIAL RATE</t>
  </si>
  <si>
    <t>EQUIPMENT RATE</t>
  </si>
  <si>
    <t>Bond @ 2%</t>
  </si>
  <si>
    <t>SUGGESTED BASE BID</t>
  </si>
  <si>
    <t>No. of Floors:</t>
  </si>
  <si>
    <t>Address:</t>
  </si>
  <si>
    <t>WAGES</t>
  </si>
  <si>
    <t>TOTAL LABOUR COST</t>
  </si>
  <si>
    <t>LABOR HOURS</t>
  </si>
  <si>
    <t>TOTAL LABOR  HOUR</t>
  </si>
  <si>
    <t>TOTAL MATETRIAL COST</t>
  </si>
  <si>
    <t>TOTAL EQUIPMENT COSTS</t>
  </si>
  <si>
    <t>NOTES:</t>
  </si>
  <si>
    <t>Project ID:</t>
  </si>
  <si>
    <t>Note</t>
  </si>
  <si>
    <t>Legend</t>
  </si>
  <si>
    <t>The drawings are scaled as per the mentioned scales on the plans.</t>
  </si>
  <si>
    <r>
      <rPr>
        <b/>
        <sz val="11"/>
        <color rgb="FF000000"/>
        <rFont val="Arial"/>
        <family val="2"/>
      </rPr>
      <t>SF</t>
    </r>
    <r>
      <rPr>
        <sz val="11"/>
        <color rgb="FF000000"/>
        <rFont val="Arial"/>
        <family val="2"/>
      </rPr>
      <t>= Square Feet</t>
    </r>
  </si>
  <si>
    <r>
      <rPr>
        <b/>
        <sz val="11"/>
        <color rgb="FF000000"/>
        <rFont val="Arial"/>
        <family val="2"/>
      </rPr>
      <t>LF</t>
    </r>
    <r>
      <rPr>
        <sz val="11"/>
        <color rgb="FF000000"/>
        <rFont val="Arial"/>
        <family val="2"/>
      </rPr>
      <t xml:space="preserve"> = Linear Feet</t>
    </r>
  </si>
  <si>
    <r>
      <rPr>
        <b/>
        <sz val="11"/>
        <color rgb="FF000000"/>
        <rFont val="Arial"/>
        <family val="2"/>
      </rPr>
      <t>EA</t>
    </r>
    <r>
      <rPr>
        <sz val="11"/>
        <color rgb="FF000000"/>
        <rFont val="Arial"/>
        <family val="2"/>
      </rPr>
      <t xml:space="preserve"> = Each</t>
    </r>
  </si>
  <si>
    <r>
      <rPr>
        <b/>
        <sz val="11"/>
        <color rgb="FF000000"/>
        <rFont val="Arial"/>
        <family val="2"/>
      </rPr>
      <t xml:space="preserve">CY </t>
    </r>
    <r>
      <rPr>
        <sz val="11"/>
        <color rgb="FF000000"/>
        <rFont val="Arial"/>
        <family val="2"/>
      </rPr>
      <t>= Cubic Yard</t>
    </r>
  </si>
  <si>
    <r>
      <rPr>
        <b/>
        <sz val="11"/>
        <color rgb="FF000000"/>
        <rFont val="Arial"/>
        <family val="2"/>
      </rPr>
      <t xml:space="preserve">SY </t>
    </r>
    <r>
      <rPr>
        <sz val="11"/>
        <color rgb="FF000000"/>
        <rFont val="Arial"/>
        <family val="2"/>
      </rPr>
      <t>= Square Yard</t>
    </r>
  </si>
  <si>
    <r>
      <rPr>
        <b/>
        <sz val="11"/>
        <color rgb="FF000000"/>
        <rFont val="Arial"/>
        <family val="2"/>
      </rPr>
      <t>LOC</t>
    </r>
    <r>
      <rPr>
        <sz val="11"/>
        <color rgb="FF000000"/>
        <rFont val="Arial"/>
        <family val="2"/>
      </rPr>
      <t xml:space="preserve"> = Location</t>
    </r>
  </si>
  <si>
    <r>
      <rPr>
        <b/>
        <sz val="11"/>
        <color rgb="FF000000"/>
        <rFont val="Arial"/>
        <family val="2"/>
      </rPr>
      <t xml:space="preserve">LS </t>
    </r>
    <r>
      <rPr>
        <sz val="11"/>
        <color rgb="FF000000"/>
        <rFont val="Arial"/>
        <family val="2"/>
      </rPr>
      <t>= Lum Sum</t>
    </r>
  </si>
  <si>
    <r>
      <rPr>
        <b/>
        <sz val="11"/>
        <color rgb="FF000000"/>
        <rFont val="Arial"/>
        <family val="2"/>
      </rPr>
      <t>LBS</t>
    </r>
    <r>
      <rPr>
        <sz val="11"/>
        <color rgb="FF000000"/>
        <rFont val="Arial"/>
        <family val="2"/>
      </rPr>
      <t xml:space="preserve"> = Pound </t>
    </r>
  </si>
  <si>
    <t>SF</t>
  </si>
  <si>
    <t>Building GSF</t>
  </si>
  <si>
    <t>TOTAL DIV. COST (PER SF)</t>
  </si>
  <si>
    <t>EA</t>
  </si>
  <si>
    <t>LF</t>
  </si>
  <si>
    <t>01. GENERAL REQUIREMENTS</t>
  </si>
  <si>
    <r>
      <rPr>
        <b/>
        <u/>
        <sz val="11"/>
        <color rgb="FFFF0000"/>
        <rFont val="Arial"/>
        <family val="2"/>
      </rPr>
      <t>General Notes:</t>
    </r>
    <r>
      <rPr>
        <sz val="11"/>
        <color rgb="FFFF0000"/>
        <rFont val="Arial"/>
        <family val="2"/>
      </rPr>
      <t xml:space="preserve"> </t>
    </r>
    <r>
      <rPr>
        <sz val="11"/>
        <color theme="1"/>
        <rFont val="Arial"/>
        <family val="2"/>
      </rPr>
      <t>The prices used while preparing the estimate were taken from RSMeans online i.e. the standard pricing. So, it is preferred to review the prices.</t>
    </r>
  </si>
  <si>
    <t>Thermal And Moisture Protection</t>
  </si>
  <si>
    <t>07. THERMAL AND MOISTURE PROTECTION</t>
  </si>
  <si>
    <t>Roofing</t>
  </si>
  <si>
    <t>A-250
A-210
A-300
A-301</t>
  </si>
  <si>
    <t>60 MIL TPO Roofing Membrane</t>
  </si>
  <si>
    <t xml:space="preserve">Prefinished Galv. Metal Coping </t>
  </si>
  <si>
    <t>Metal Drip Edge</t>
  </si>
  <si>
    <t>Cont. Galv. Metal Cleat</t>
  </si>
  <si>
    <t>Prefinished Mtl. Overflow Scupper_x000D_
Paint Dark Bronze</t>
  </si>
  <si>
    <t>Prefinished Mtl Emergency Overflow Scupper</t>
  </si>
  <si>
    <t>Sealent At Perimeter Of Wall</t>
  </si>
  <si>
    <t>4x Cant Strip</t>
  </si>
  <si>
    <t>Single-Ply Membrane Roofing System</t>
  </si>
  <si>
    <t>Prefinished Standing Seam Metal Roof_x000D_
Color: Match SW Color #6871, Positive Red</t>
  </si>
  <si>
    <t>Roof Drainage</t>
  </si>
  <si>
    <t>Prefinished Mtl. Downspout &amp; 24 GA. Mtl  Leaderhead_x000D_
Finish: Paint Dark Bronzie</t>
  </si>
  <si>
    <t xml:space="preserve">Flashing &amp; Metal </t>
  </si>
  <si>
    <t>30 LB Felt Membrane At Roof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</si>
</sst>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* #,##0.00_);_(&quot;$&quot;* \(#,##0.00\);_(&quot;$&quot;* &quot;-&quot;??_);_(@_)"/>
    <numFmt numFmtId="165" formatCode="&quot;$&quot;#,##0"/>
    <numFmt numFmtId="166" formatCode="_(&quot;$&quot;* #,##0_);_(&quot;$&quot;* \(#,##0\);_(&quot;$&quot;* &quot;-&quot;??_);_(@_)"/>
    <numFmt numFmtId="167" formatCode="[$$-409]#,##0"/>
    <numFmt numFmtId="168" formatCode="&quot;$&quot;#,##0.00"/>
    <numFmt numFmtId="169" formatCode="0.000"/>
  </numFmts>
  <fonts count="26" x14ac:knownFonts="1">
    <font>
      <sz val="11"/>
      <color theme="1"/>
      <name val="Tw Cen MT"/>
      <family val="2"/>
      <scheme val="minor"/>
    </font>
    <font>
      <b/>
      <sz val="12"/>
      <color theme="1"/>
      <name val="Tw Cen MT"/>
      <family val="2"/>
      <scheme val="minor"/>
    </font>
    <font>
      <sz val="11"/>
      <name val="Arial"/>
      <family val="2"/>
    </font>
    <font>
      <sz val="11"/>
      <color theme="1"/>
      <name val="Tw Cen MT"/>
      <family val="2"/>
      <scheme val="minor"/>
    </font>
    <font>
      <sz val="12"/>
      <name val="Arial"/>
      <family val="2"/>
    </font>
    <font>
      <sz val="11"/>
      <color theme="0"/>
      <name val="Tw Cen MT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1"/>
      <color rgb="FF0000B3"/>
      <name val="Arial"/>
      <family val="2"/>
    </font>
    <font>
      <b/>
      <sz val="11"/>
      <color rgb="FF00B050"/>
      <name val="Arial"/>
      <family val="2"/>
    </font>
    <font>
      <u/>
      <sz val="11"/>
      <color theme="1"/>
      <name val="Arial"/>
      <family val="2"/>
    </font>
    <font>
      <b/>
      <sz val="16"/>
      <color theme="1"/>
      <name val="Tw Cen MT"/>
      <family val="2"/>
      <scheme val="minor"/>
    </font>
    <font>
      <sz val="16"/>
      <color theme="1"/>
      <name val="Tw Cen MT"/>
      <family val="2"/>
      <scheme val="minor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rgb="FFFF0000"/>
      <name val="Arial"/>
      <family val="2"/>
    </font>
    <font>
      <b/>
      <u/>
      <sz val="11"/>
      <color theme="1"/>
      <name val="Arial"/>
      <family val="2"/>
    </font>
    <font>
      <b/>
      <u/>
      <sz val="11"/>
      <color rgb="FFFF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rgb="FF067BC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rgb="FF3366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67BC2"/>
        <bgColor indexed="64"/>
      </patternFill>
    </fill>
    <fill>
      <patternFill patternType="solid">
        <fgColor rgb="FFCF9843"/>
        <bgColor indexed="64"/>
      </patternFill>
    </fill>
    <fill>
      <patternFill patternType="solid">
        <fgColor rgb="FF84BCD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" fontId="1" fillId="3" borderId="1">
      <alignment horizontal="center" vertical="center"/>
    </xf>
    <xf numFmtId="164" fontId="3" fillId="0" borderId="0" applyFont="0" applyFill="0" applyBorder="0" applyAlignment="0" applyProtection="0"/>
    <xf numFmtId="0" fontId="5" fillId="4" borderId="0" applyNumberFormat="0" applyBorder="0" applyAlignment="0" applyProtection="0"/>
    <xf numFmtId="39" fontId="4" fillId="0" borderId="20">
      <alignment horizontal="left" vertical="center" wrapText="1"/>
    </xf>
    <xf numFmtId="39" fontId="4" fillId="0" borderId="20">
      <alignment horizontal="left" vertical="center" wrapText="1"/>
    </xf>
  </cellStyleXfs>
  <cellXfs count="150">
    <xf numFmtId="0" fontId="0" fillId="0" borderId="0" xfId="0"/>
    <xf numFmtId="0" fontId="2" fillId="3" borderId="3" xfId="0" applyFont="1" applyFill="1" applyBorder="1" applyAlignment="1">
      <alignment horizontal="centerContinuous" vertical="center"/>
    </xf>
    <xf numFmtId="0" fontId="2" fillId="3" borderId="2" xfId="0" applyFont="1" applyFill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9" xfId="0" applyFont="1" applyFill="1" applyBorder="1" applyAlignment="1">
      <alignment horizontal="left" vertical="center"/>
    </xf>
    <xf numFmtId="0" fontId="7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7" fillId="0" borderId="10" xfId="0" applyFont="1" applyBorder="1" applyAlignment="1">
      <alignment vertical="center"/>
    </xf>
    <xf numFmtId="0" fontId="9" fillId="3" borderId="10" xfId="0" applyFont="1" applyFill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0" borderId="17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3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165" fontId="7" fillId="0" borderId="0" xfId="0" applyNumberFormat="1" applyFont="1" applyAlignment="1">
      <alignment horizontal="right" vertical="center"/>
    </xf>
    <xf numFmtId="165" fontId="7" fillId="0" borderId="1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horizontal="center" vertical="center" wrapText="1"/>
    </xf>
    <xf numFmtId="39" fontId="2" fillId="0" borderId="1" xfId="4" applyFont="1" applyBorder="1" applyAlignment="1">
      <alignment horizontal="center" vertical="center" wrapText="1"/>
    </xf>
    <xf numFmtId="39" fontId="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Continuous" vertical="center"/>
    </xf>
    <xf numFmtId="0" fontId="7" fillId="3" borderId="0" xfId="0" applyFont="1" applyFill="1"/>
    <xf numFmtId="0" fontId="7" fillId="5" borderId="0" xfId="0" applyFont="1" applyFill="1"/>
    <xf numFmtId="0" fontId="7" fillId="6" borderId="0" xfId="0" applyFont="1" applyFill="1"/>
    <xf numFmtId="0" fontId="7" fillId="7" borderId="0" xfId="0" applyFont="1" applyFill="1"/>
    <xf numFmtId="166" fontId="7" fillId="3" borderId="0" xfId="0" applyNumberFormat="1" applyFont="1" applyFill="1"/>
    <xf numFmtId="0" fontId="7" fillId="0" borderId="2" xfId="0" applyFont="1" applyBorder="1" applyAlignment="1">
      <alignment vertical="center"/>
    </xf>
    <xf numFmtId="0" fontId="8" fillId="7" borderId="7" xfId="0" applyFont="1" applyFill="1" applyBorder="1" applyAlignment="1">
      <alignment horizontal="center" vertical="center"/>
    </xf>
    <xf numFmtId="9" fontId="8" fillId="7" borderId="0" xfId="0" applyNumberFormat="1" applyFont="1" applyFill="1" applyAlignment="1">
      <alignment horizontal="center" vertical="center"/>
    </xf>
    <xf numFmtId="2" fontId="7" fillId="2" borderId="2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18" xfId="0" applyNumberFormat="1" applyFont="1" applyBorder="1" applyAlignment="1">
      <alignment horizontal="center" vertical="center"/>
    </xf>
    <xf numFmtId="2" fontId="7" fillId="3" borderId="0" xfId="0" applyNumberFormat="1" applyFont="1" applyFill="1" applyAlignment="1">
      <alignment horizontal="center" vertical="center"/>
    </xf>
    <xf numFmtId="168" fontId="7" fillId="3" borderId="0" xfId="0" applyNumberFormat="1" applyFont="1" applyFill="1" applyAlignment="1">
      <alignment vertical="center"/>
    </xf>
    <xf numFmtId="168" fontId="2" fillId="0" borderId="10" xfId="0" applyNumberFormat="1" applyFont="1" applyBorder="1" applyAlignment="1">
      <alignment horizontal="centerContinuous" vertical="center"/>
    </xf>
    <xf numFmtId="39" fontId="2" fillId="0" borderId="1" xfId="4" applyFont="1" applyBorder="1">
      <alignment horizontal="left" vertical="center" wrapText="1"/>
    </xf>
    <xf numFmtId="0" fontId="2" fillId="8" borderId="1" xfId="0" applyFont="1" applyFill="1" applyBorder="1" applyAlignme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left"/>
    </xf>
    <xf numFmtId="166" fontId="8" fillId="3" borderId="10" xfId="0" applyNumberFormat="1" applyFont="1" applyFill="1" applyBorder="1" applyAlignment="1">
      <alignment horizontal="right"/>
    </xf>
    <xf numFmtId="0" fontId="9" fillId="8" borderId="11" xfId="0" applyFont="1" applyFill="1" applyBorder="1" applyAlignment="1">
      <alignment horizontal="center" vertical="center"/>
    </xf>
    <xf numFmtId="166" fontId="7" fillId="7" borderId="10" xfId="2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7" fillId="3" borderId="7" xfId="0" applyFont="1" applyFill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9" fillId="0" borderId="7" xfId="0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7" xfId="0" applyFont="1" applyBorder="1"/>
    <xf numFmtId="0" fontId="22" fillId="0" borderId="0" xfId="0" applyFont="1"/>
    <xf numFmtId="0" fontId="22" fillId="0" borderId="0" xfId="0" applyFont="1" applyAlignment="1">
      <alignment horizontal="left" vertical="center"/>
    </xf>
    <xf numFmtId="0" fontId="7" fillId="0" borderId="0" xfId="0" applyFont="1"/>
    <xf numFmtId="0" fontId="23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39" fontId="9" fillId="7" borderId="1" xfId="4" applyFont="1" applyFill="1" applyBorder="1">
      <alignment horizontal="left" vertical="center" wrapText="1"/>
    </xf>
    <xf numFmtId="166" fontId="7" fillId="8" borderId="1" xfId="0" applyNumberFormat="1" applyFont="1" applyFill="1" applyBorder="1"/>
    <xf numFmtId="0" fontId="11" fillId="3" borderId="0" xfId="0" applyFont="1" applyFill="1" applyAlignment="1">
      <alignment horizontal="right" vertical="center"/>
    </xf>
    <xf numFmtId="0" fontId="9" fillId="3" borderId="0" xfId="0" applyFont="1" applyFill="1" applyAlignment="1">
      <alignment horizontal="right" vertical="center"/>
    </xf>
    <xf numFmtId="166" fontId="8" fillId="3" borderId="0" xfId="0" applyNumberFormat="1" applyFont="1" applyFill="1" applyAlignment="1">
      <alignment horizontal="right"/>
    </xf>
    <xf numFmtId="0" fontId="9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168" fontId="7" fillId="0" borderId="1" xfId="0" applyNumberFormat="1" applyFont="1" applyBorder="1" applyAlignment="1">
      <alignment horizontal="center" vertical="center"/>
    </xf>
    <xf numFmtId="0" fontId="9" fillId="8" borderId="25" xfId="0" applyFont="1" applyFill="1" applyBorder="1" applyAlignment="1">
      <alignment horizontal="center" vertical="center"/>
    </xf>
    <xf numFmtId="0" fontId="2" fillId="8" borderId="26" xfId="0" applyFont="1" applyFill="1" applyBorder="1" applyAlignment="1">
      <alignment vertical="center"/>
    </xf>
    <xf numFmtId="166" fontId="7" fillId="8" borderId="26" xfId="0" applyNumberFormat="1" applyFont="1" applyFill="1" applyBorder="1"/>
    <xf numFmtId="164" fontId="7" fillId="8" borderId="27" xfId="0" applyNumberFormat="1" applyFont="1" applyFill="1" applyBorder="1"/>
    <xf numFmtId="164" fontId="7" fillId="8" borderId="12" xfId="0" applyNumberFormat="1" applyFont="1" applyFill="1" applyBorder="1"/>
    <xf numFmtId="0" fontId="6" fillId="0" borderId="0" xfId="0" applyFont="1" applyAlignment="1">
      <alignment vertical="center"/>
    </xf>
    <xf numFmtId="9" fontId="7" fillId="0" borderId="6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169" fontId="7" fillId="0" borderId="6" xfId="0" applyNumberFormat="1" applyFont="1" applyBorder="1" applyAlignment="1">
      <alignment horizontal="center" vertical="center"/>
    </xf>
    <xf numFmtId="168" fontId="7" fillId="0" borderId="6" xfId="0" applyNumberFormat="1" applyFont="1" applyBorder="1" applyAlignment="1">
      <alignment horizontal="center" vertical="center"/>
    </xf>
    <xf numFmtId="168" fontId="7" fillId="0" borderId="31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1" fontId="7" fillId="0" borderId="32" xfId="0" applyNumberFormat="1" applyFont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/>
    </xf>
    <xf numFmtId="0" fontId="10" fillId="9" borderId="11" xfId="3" applyFont="1" applyFill="1" applyBorder="1" applyAlignment="1">
      <alignment horizontal="center" vertical="center"/>
    </xf>
    <xf numFmtId="0" fontId="10" fillId="9" borderId="1" xfId="3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/>
    </xf>
    <xf numFmtId="2" fontId="10" fillId="9" borderId="1" xfId="3" applyNumberFormat="1" applyFont="1" applyFill="1" applyBorder="1" applyAlignment="1">
      <alignment horizontal="center" vertical="center" wrapText="1"/>
    </xf>
    <xf numFmtId="0" fontId="10" fillId="9" borderId="1" xfId="3" applyNumberFormat="1" applyFont="1" applyFill="1" applyBorder="1" applyAlignment="1">
      <alignment horizontal="center" vertical="center" wrapText="1"/>
    </xf>
    <xf numFmtId="0" fontId="10" fillId="9" borderId="12" xfId="3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vertical="center"/>
    </xf>
    <xf numFmtId="0" fontId="10" fillId="9" borderId="24" xfId="0" applyFont="1" applyFill="1" applyBorder="1" applyAlignment="1">
      <alignment vertical="center"/>
    </xf>
    <xf numFmtId="9" fontId="24" fillId="9" borderId="5" xfId="0" applyNumberFormat="1" applyFont="1" applyFill="1" applyBorder="1" applyAlignment="1">
      <alignment horizontal="center" vertical="center"/>
    </xf>
    <xf numFmtId="167" fontId="24" fillId="9" borderId="15" xfId="0" applyNumberFormat="1" applyFont="1" applyFill="1" applyBorder="1" applyAlignment="1">
      <alignment horizontal="center" vertical="center"/>
    </xf>
    <xf numFmtId="0" fontId="10" fillId="10" borderId="7" xfId="0" applyFont="1" applyFill="1" applyBorder="1" applyAlignment="1">
      <alignment vertical="center"/>
    </xf>
    <xf numFmtId="0" fontId="10" fillId="10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vertical="center"/>
    </xf>
    <xf numFmtId="2" fontId="10" fillId="10" borderId="0" xfId="0" applyNumberFormat="1" applyFont="1" applyFill="1" applyAlignment="1">
      <alignment vertical="center"/>
    </xf>
    <xf numFmtId="168" fontId="10" fillId="10" borderId="10" xfId="0" applyNumberFormat="1" applyFont="1" applyFill="1" applyBorder="1" applyAlignment="1">
      <alignment vertical="center"/>
    </xf>
    <xf numFmtId="0" fontId="8" fillId="11" borderId="4" xfId="0" applyFont="1" applyFill="1" applyBorder="1" applyAlignment="1">
      <alignment horizontal="center" vertical="center"/>
    </xf>
    <xf numFmtId="165" fontId="8" fillId="11" borderId="12" xfId="0" applyNumberFormat="1" applyFont="1" applyFill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center"/>
    </xf>
    <xf numFmtId="0" fontId="10" fillId="9" borderId="28" xfId="0" applyFont="1" applyFill="1" applyBorder="1" applyAlignment="1">
      <alignment horizontal="center" vertical="center"/>
    </xf>
    <xf numFmtId="0" fontId="10" fillId="9" borderId="29" xfId="0" applyFont="1" applyFill="1" applyBorder="1" applyAlignment="1">
      <alignment horizontal="center" vertical="center" wrapText="1"/>
    </xf>
    <xf numFmtId="0" fontId="10" fillId="9" borderId="30" xfId="0" applyFont="1" applyFill="1" applyBorder="1" applyAlignment="1">
      <alignment horizontal="center" vertical="center" wrapText="1"/>
    </xf>
    <xf numFmtId="166" fontId="10" fillId="10" borderId="23" xfId="2" applyNumberFormat="1" applyFont="1" applyFill="1" applyBorder="1" applyAlignment="1">
      <alignment vertical="center"/>
    </xf>
    <xf numFmtId="166" fontId="10" fillId="10" borderId="8" xfId="2" applyNumberFormat="1" applyFont="1" applyFill="1" applyBorder="1" applyAlignment="1">
      <alignment vertical="center"/>
    </xf>
    <xf numFmtId="0" fontId="10" fillId="10" borderId="23" xfId="0" applyFont="1" applyFill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10" fillId="10" borderId="21" xfId="0" applyFont="1" applyFill="1" applyBorder="1" applyAlignment="1">
      <alignment horizontal="center" vertical="center"/>
    </xf>
    <xf numFmtId="0" fontId="10" fillId="10" borderId="22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167" fontId="17" fillId="0" borderId="0" xfId="0" applyNumberFormat="1" applyFont="1" applyAlignment="1">
      <alignment horizontal="center" vertical="center"/>
    </xf>
    <xf numFmtId="165" fontId="17" fillId="0" borderId="0" xfId="0" applyNumberFormat="1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11" borderId="16" xfId="0" applyFont="1" applyFill="1" applyBorder="1" applyAlignment="1">
      <alignment horizontal="center" vertical="center"/>
    </xf>
    <xf numFmtId="0" fontId="8" fillId="11" borderId="4" xfId="0" applyFont="1" applyFill="1" applyBorder="1" applyAlignment="1">
      <alignment horizontal="center" vertical="center"/>
    </xf>
    <xf numFmtId="0" fontId="24" fillId="9" borderId="16" xfId="0" applyFont="1" applyFill="1" applyBorder="1" applyAlignment="1">
      <alignment horizontal="right" vertical="center"/>
    </xf>
    <xf numFmtId="0" fontId="24" fillId="9" borderId="4" xfId="0" applyFont="1" applyFill="1" applyBorder="1" applyAlignment="1">
      <alignment horizontal="right" vertical="center"/>
    </xf>
    <xf numFmtId="0" fontId="10" fillId="9" borderId="4" xfId="0" applyFont="1" applyFill="1" applyBorder="1" applyAlignment="1">
      <alignment horizontal="center" vertical="center"/>
    </xf>
    <xf numFmtId="37" fontId="9" fillId="0" borderId="32" xfId="0" applyNumberFormat="1" applyFont="1" applyBorder="1" applyAlignment="1">
      <alignment horizontal="center" vertical="center" wrapText="1"/>
    </xf>
    <xf numFmtId="37" fontId="9" fillId="0" borderId="3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</cellXfs>
  <cellStyles count="6">
    <cellStyle name="Accent1" xfId="3" builtinId="29"/>
    <cellStyle name="Currency 2" xfId="2"/>
    <cellStyle name="Normal" xfId="0" builtinId="0"/>
    <cellStyle name="Style 1" xfId="1"/>
    <cellStyle name="takeoffs body style" xfId="4"/>
    <cellStyle name="takeoffs body style 2" xfId="5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5B9BD5"/>
      <color rgb="FF067BC2"/>
      <color rgb="FFCF9843"/>
      <color rgb="FF84BCDA"/>
      <color rgb="FF2D2D2D"/>
      <color rgb="FF3366CC"/>
      <color rgb="FF4F81BD"/>
      <color rgb="FF0000B3"/>
      <color rgb="FF00B300"/>
      <color rgb="FFEF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ln>
                  <a:noFill/>
                </a:ln>
                <a:solidFill>
                  <a:schemeClr val="lt1"/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DIVISION COST COMPARISON</a:t>
            </a:r>
            <a:endParaRPr lang="en-US"/>
          </a:p>
        </c:rich>
      </c:tx>
      <c:layout/>
      <c:overlay val="0"/>
      <c:spPr>
        <a:solidFill>
          <a:srgbClr val="067BC2"/>
        </a:solidFill>
        <a:ln w="19050" cap="flat" cmpd="sng" algn="ctr">
          <a:solidFill>
            <a:schemeClr val="lt1"/>
          </a:solidFill>
          <a:prstDash val="solid"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solidFill>
            <a:schemeClr val="bg1"/>
          </a:solidFill>
        </a:ln>
        <a:effectLst/>
        <a:sp3d>
          <a:contourClr>
            <a:schemeClr val="bg1"/>
          </a:contourClr>
        </a:sp3d>
      </c:spPr>
    </c:sideWall>
    <c:backWall>
      <c:thickness val="0"/>
      <c:spPr>
        <a:noFill/>
        <a:ln>
          <a:solidFill>
            <a:schemeClr val="tx1"/>
          </a:solidFill>
        </a:ln>
        <a:effectLst/>
        <a:sp3d>
          <a:contourClr>
            <a:schemeClr val="tx1"/>
          </a:contourClr>
        </a:sp3d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5B9BD5"/>
            </a:solidFill>
            <a:ln>
              <a:noFill/>
            </a:ln>
            <a:effectLst/>
            <a:sp3d/>
          </c:spPr>
          <c:invertIfNegative val="0"/>
          <c:cat>
            <c:strRef>
              <c:f>SUMMARY!$B$11:$B$12</c:f>
              <c:strCache>
                <c:ptCount val="2"/>
                <c:pt idx="0">
                  <c:v>General Requirements</c:v>
                </c:pt>
                <c:pt idx="1">
                  <c:v>Thermal And Moisture Protection</c:v>
                </c:pt>
              </c:strCache>
            </c:strRef>
          </c:cat>
          <c:val>
            <c:numRef>
              <c:f>SUMMARY!$C$11:$C$12</c:f>
              <c:numCache>
                <c:formatCode>_("$"* #,##0_);_("$"* \(#,##0\);_("$"* "-"??_);_(@_)</c:formatCode>
                <c:ptCount val="2"/>
                <c:pt idx="0">
                  <c:v>3932.0665518760088</c:v>
                </c:pt>
                <c:pt idx="1">
                  <c:v>33238.094267760003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87-48D4-A601-184AA996DB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2820352"/>
        <c:axId val="192821888"/>
        <c:axId val="0"/>
      </c:bar3DChart>
      <c:catAx>
        <c:axId val="192820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>
            <a:solidFill>
              <a:schemeClr val="bg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821888"/>
        <c:crosses val="autoZero"/>
        <c:auto val="1"/>
        <c:lblAlgn val="ctr"/>
        <c:lblOffset val="100"/>
        <c:noMultiLvlLbl val="0"/>
      </c:catAx>
      <c:valAx>
        <c:axId val="192821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tx1">
                    <a:alpha val="83000"/>
                  </a:schemeClr>
                </a:solidFill>
                <a:effectLst>
                  <a:glow rad="114300">
                    <a:schemeClr val="accent1">
                      <a:alpha val="29000"/>
                    </a:schemeClr>
                  </a:glow>
                  <a:outerShdw blurRad="50800" dist="1536700" dir="21540000" algn="ctr" rotWithShape="0">
                    <a:srgbClr val="000000">
                      <a:alpha val="0"/>
                    </a:srgbClr>
                  </a:outerShdw>
                </a:effectLst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8203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1270000" dist="50800" dir="5400000" algn="ctr" rotWithShape="0">
        <a:srgbClr val="000000">
          <a:alpha val="0"/>
        </a:srgbClr>
      </a:outerShdw>
    </a:effectLst>
  </c:spPr>
  <c:txPr>
    <a:bodyPr anchor="ctr" anchorCtr="0"/>
    <a:lstStyle/>
    <a:p>
      <a:pPr>
        <a:defRPr>
          <a:ln>
            <a:noFill/>
          </a:ln>
          <a:solidFill>
            <a:schemeClr val="tx1">
              <a:alpha val="83000"/>
            </a:schemeClr>
          </a:solidFill>
          <a:effectLst>
            <a:glow rad="114300">
              <a:schemeClr val="accent1">
                <a:alpha val="29000"/>
              </a:schemeClr>
            </a:glow>
            <a:outerShdw blurRad="50800" dist="1536700" dir="21540000" algn="ctr" rotWithShape="0">
              <a:srgbClr val="000000">
                <a:alpha val="0"/>
              </a:srgbClr>
            </a:outerShdw>
          </a:effectLst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430653</xdr:colOff>
      <xdr:row>0</xdr:row>
      <xdr:rowOff>103281</xdr:rowOff>
    </xdr:from>
    <xdr:to>
      <xdr:col>3</xdr:col>
      <xdr:colOff>1117820</xdr:colOff>
      <xdr:row>8</xdr:row>
      <xdr:rowOff>3975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1F5C46B-2265-4302-ACE9-A0A447B75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2189" y="103281"/>
          <a:ext cx="2034274" cy="1315837"/>
        </a:xfrm>
        <a:prstGeom prst="rect">
          <a:avLst/>
        </a:prstGeom>
        <a:effectLst>
          <a:outerShdw blurRad="1270000" dist="50800" dir="5400000" sx="200000" sy="200000" algn="ctr" rotWithShape="0">
            <a:srgbClr val="000000">
              <a:alpha val="0"/>
            </a:srgbClr>
          </a:outerShdw>
        </a:effectLst>
      </xdr:spPr>
    </xdr:pic>
    <xdr:clientData/>
  </xdr:twoCellAnchor>
  <xdr:twoCellAnchor>
    <xdr:from>
      <xdr:col>4</xdr:col>
      <xdr:colOff>12370</xdr:colOff>
      <xdr:row>0</xdr:row>
      <xdr:rowOff>37110</xdr:rowOff>
    </xdr:from>
    <xdr:to>
      <xdr:col>11</xdr:col>
      <xdr:colOff>630877</xdr:colOff>
      <xdr:row>17</xdr:row>
      <xdr:rowOff>142502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FB37C3D2-643E-CFBC-D5BA-09F97A94D1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421994</xdr:colOff>
      <xdr:row>0</xdr:row>
      <xdr:rowOff>103281</xdr:rowOff>
    </xdr:from>
    <xdr:to>
      <xdr:col>3</xdr:col>
      <xdr:colOff>1071193</xdr:colOff>
      <xdr:row>8</xdr:row>
      <xdr:rowOff>4320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783" t="24050" r="8740" b="16138"/>
        <a:stretch>
          <a:fillRect/>
        </a:stretch>
      </xdr:blipFill>
      <xdr:spPr>
        <a:xfrm>
          <a:off x="5642189" y="103281"/>
          <a:ext cx="1997543" cy="1385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457200</xdr:colOff>
      <xdr:row>1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57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14</xdr:col>
      <xdr:colOff>153940</xdr:colOff>
      <xdr:row>1</xdr:row>
      <xdr:rowOff>86591</xdr:rowOff>
    </xdr:from>
    <xdr:to>
      <xdr:col>15</xdr:col>
      <xdr:colOff>1112392</xdr:colOff>
      <xdr:row>8</xdr:row>
      <xdr:rowOff>115455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83" t="24050" r="8740" b="16138"/>
        <a:stretch>
          <a:fillRect/>
        </a:stretch>
      </xdr:blipFill>
      <xdr:spPr>
        <a:xfrm>
          <a:off x="14383713" y="86591"/>
          <a:ext cx="1997544" cy="1414319"/>
        </a:xfrm>
        <a:prstGeom prst="rect">
          <a:avLst/>
        </a:prstGeom>
      </xdr:spPr>
    </xdr:pic>
    <xdr:clientData/>
  </xdr:twoCellAnchor>
  <xdr:twoCellAnchor editAs="oneCell">
    <xdr:from>
      <xdr:col>13</xdr:col>
      <xdr:colOff>967070</xdr:colOff>
      <xdr:row>1</xdr:row>
      <xdr:rowOff>86591</xdr:rowOff>
    </xdr:from>
    <xdr:to>
      <xdr:col>15</xdr:col>
      <xdr:colOff>950756</xdr:colOff>
      <xdr:row>8</xdr:row>
      <xdr:rowOff>97725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A87D0D47-8E85-A816-FAA2-BC4E7165AD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6783" t="24050" r="8740" b="16138"/>
        <a:stretch>
          <a:fillRect/>
        </a:stretch>
      </xdr:blipFill>
      <xdr:spPr>
        <a:xfrm>
          <a:off x="14383713" y="86591"/>
          <a:ext cx="1997543" cy="1385455"/>
        </a:xfrm>
        <a:prstGeom prst="rect">
          <a:avLst/>
        </a:prstGeom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Integral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Integral">
      <a:majorFont>
        <a:latin typeface="Tw Cen MT Condensed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/>
        <a:ea typeface=""/>
        <a:cs typeface=""/>
        <a:font script="Grek" typeface="Calibri"/>
        <a:font script="Cyrl" typeface="Calibri"/>
        <a:font script="Jpan" typeface="メイリオ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Integral">
      <a:fillStyleLst>
        <a:solidFill>
          <a:schemeClr val="phClr"/>
        </a:solidFill>
        <a:gradFill rotWithShape="1">
          <a:gsLst>
            <a:gs pos="0">
              <a:schemeClr val="phClr">
                <a:tint val="83000"/>
                <a:satMod val="100000"/>
                <a:lumMod val="100000"/>
              </a:schemeClr>
            </a:gs>
            <a:gs pos="100000">
              <a:schemeClr val="phClr">
                <a:tint val="61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tint val="100000"/>
                <a:shade val="85000"/>
                <a:satMod val="100000"/>
                <a:lumMod val="100000"/>
              </a:schemeClr>
            </a:gs>
            <a:gs pos="100000">
              <a:schemeClr val="phClr">
                <a:tint val="90000"/>
                <a:shade val="100000"/>
                <a:satMod val="150000"/>
                <a:lum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12700" dir="5400000" algn="ctr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76200" dist="25400" dir="5400000" algn="ct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flat" dir="t">
              <a:rot lat="0" lon="0" rev="3600000"/>
            </a:lightRig>
          </a:scene3d>
          <a:sp3d contourW="12700" prstMaterial="flat">
            <a:bevelT w="38100" h="44450" prst="angle"/>
            <a:contourClr>
              <a:schemeClr val="phClr">
                <a:shade val="35000"/>
                <a:satMod val="160000"/>
              </a:schemeClr>
            </a:contourClr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hade val="85000"/>
            <a:satMod val="125000"/>
          </a:schemeClr>
        </a:solidFill>
        <a:blipFill rotWithShape="1">
          <a:blip xmlns:r="http://schemas.openxmlformats.org/officeDocument/2006/relationships" r:embed="rId1">
            <a:duotone>
              <a:schemeClr val="phClr">
                <a:tint val="95000"/>
                <a:shade val="74000"/>
                <a:satMod val="230000"/>
              </a:schemeClr>
              <a:schemeClr val="phClr">
                <a:tint val="92000"/>
                <a:shade val="69000"/>
                <a:satMod val="250000"/>
              </a:schemeClr>
            </a:duotone>
          </a:blip>
          <a:tile tx="0" ty="0" sx="40000" sy="40000" flip="none" algn="tl"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Integral" id="{3577F8C9-A904-41D8-97D2-FD898F53F20E}" vid="{682D6EBE-8D36-4FF2-9DB3-F3D8D7B6715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366CC"/>
    <pageSetUpPr fitToPage="1"/>
  </sheetPr>
  <dimension ref="A1:D18"/>
  <sheetViews>
    <sheetView view="pageBreakPreview" zoomScale="77" zoomScaleNormal="100" zoomScaleSheetLayoutView="77" workbookViewId="0">
      <pane ySplit="10" topLeftCell="A11" activePane="bottomLeft" state="frozen"/>
      <selection activeCell="N7" sqref="N7"/>
      <selection pane="bottomLeft" activeCell="B4" sqref="B4"/>
    </sheetView>
  </sheetViews>
  <sheetFormatPr defaultColWidth="9" defaultRowHeight="14.25" x14ac:dyDescent="0.2"/>
  <cols>
    <col min="1" max="1" width="23.625" style="36" customWidth="1"/>
    <col min="2" max="2" width="44.875" style="36" customWidth="1"/>
    <col min="3" max="4" width="17.625" style="40" customWidth="1"/>
    <col min="5" max="16384" width="9" style="36"/>
  </cols>
  <sheetData>
    <row r="1" spans="1:4" ht="15" x14ac:dyDescent="0.2">
      <c r="A1" s="55"/>
      <c r="B1" s="41"/>
      <c r="C1" s="79"/>
      <c r="D1" s="56"/>
    </row>
    <row r="2" spans="1:4" ht="15" x14ac:dyDescent="0.2">
      <c r="A2" s="20" t="s">
        <v>40</v>
      </c>
      <c r="B2" s="19"/>
      <c r="C2" s="80"/>
      <c r="D2" s="10"/>
    </row>
    <row r="3" spans="1:4" ht="15" x14ac:dyDescent="0.2">
      <c r="A3" s="20"/>
      <c r="B3" s="19"/>
      <c r="C3" s="80"/>
      <c r="D3" s="10"/>
    </row>
    <row r="4" spans="1:4" ht="15" x14ac:dyDescent="0.2">
      <c r="A4" s="20" t="s">
        <v>32</v>
      </c>
      <c r="B4" s="19"/>
      <c r="C4" s="80"/>
      <c r="D4" s="10"/>
    </row>
    <row r="5" spans="1:4" ht="15" x14ac:dyDescent="0.2">
      <c r="A5" s="20"/>
      <c r="B5" s="19"/>
      <c r="C5" s="80"/>
      <c r="D5" s="10"/>
    </row>
    <row r="6" spans="1:4" ht="15" x14ac:dyDescent="0.2">
      <c r="A6" s="20" t="s">
        <v>31</v>
      </c>
      <c r="B6" s="19">
        <v>2</v>
      </c>
      <c r="C6" s="80"/>
      <c r="D6" s="10"/>
    </row>
    <row r="7" spans="1:4" ht="15" x14ac:dyDescent="0.2">
      <c r="A7" s="20"/>
      <c r="B7" s="82"/>
      <c r="C7" s="80"/>
      <c r="D7" s="10"/>
    </row>
    <row r="8" spans="1:4" ht="15" x14ac:dyDescent="0.2">
      <c r="A8" s="20" t="s">
        <v>53</v>
      </c>
      <c r="B8" s="19">
        <v>2475</v>
      </c>
      <c r="C8" s="80"/>
      <c r="D8" s="10"/>
    </row>
    <row r="9" spans="1:4" ht="15.75" thickBot="1" x14ac:dyDescent="0.3">
      <c r="A9" s="20"/>
      <c r="B9" s="57"/>
      <c r="C9" s="81"/>
      <c r="D9" s="58"/>
    </row>
    <row r="10" spans="1:4" s="37" customFormat="1" ht="30.75" thickBot="1" x14ac:dyDescent="0.25">
      <c r="A10" s="127" t="s">
        <v>15</v>
      </c>
      <c r="B10" s="128" t="s">
        <v>0</v>
      </c>
      <c r="C10" s="128" t="s">
        <v>16</v>
      </c>
      <c r="D10" s="129" t="s">
        <v>54</v>
      </c>
    </row>
    <row r="11" spans="1:4" ht="15" x14ac:dyDescent="0.2">
      <c r="A11" s="87">
        <v>1000</v>
      </c>
      <c r="B11" s="88" t="s">
        <v>17</v>
      </c>
      <c r="C11" s="89">
        <f>'MATERIAL TAKE-OFF'!P19</f>
        <v>3932.0665518760088</v>
      </c>
      <c r="D11" s="90">
        <f>C11/$B$8</f>
        <v>1.588713758333741</v>
      </c>
    </row>
    <row r="12" spans="1:4" ht="15" x14ac:dyDescent="0.2">
      <c r="A12" s="59">
        <v>7000</v>
      </c>
      <c r="B12" s="54" t="s">
        <v>59</v>
      </c>
      <c r="C12" s="78">
        <f>'MATERIAL TAKE-OFF'!P37</f>
        <v>33238.094267760003</v>
      </c>
      <c r="D12" s="91">
        <f t="shared" ref="D12" si="0">C12/$B$8</f>
        <v>13.429533037478789</v>
      </c>
    </row>
    <row r="13" spans="1:4" s="38" customFormat="1" ht="15.75" thickBot="1" x14ac:dyDescent="0.25">
      <c r="A13" s="132" t="s">
        <v>12</v>
      </c>
      <c r="B13" s="132"/>
      <c r="C13" s="130">
        <f>SUM(C11:C12)</f>
        <v>37170.16081963601</v>
      </c>
      <c r="D13" s="130">
        <f>SUM(D11:D12)</f>
        <v>15.01824679581253</v>
      </c>
    </row>
    <row r="14" spans="1:4" ht="15.75" thickBot="1" x14ac:dyDescent="0.25">
      <c r="A14" s="133"/>
      <c r="B14" s="133"/>
      <c r="C14" s="133"/>
      <c r="D14" s="133"/>
    </row>
    <row r="15" spans="1:4" s="39" customFormat="1" ht="15" x14ac:dyDescent="0.2">
      <c r="A15" s="42" t="s">
        <v>20</v>
      </c>
      <c r="B15" s="43">
        <v>0.2</v>
      </c>
      <c r="C15" s="60">
        <f>$C$13*B15</f>
        <v>7434.0321639272024</v>
      </c>
      <c r="D15" s="60">
        <f>$D$13*B15</f>
        <v>3.0036493591625062</v>
      </c>
    </row>
    <row r="16" spans="1:4" s="39" customFormat="1" ht="15" x14ac:dyDescent="0.2">
      <c r="A16" s="42" t="s">
        <v>5</v>
      </c>
      <c r="B16" s="43">
        <v>0.03</v>
      </c>
      <c r="C16" s="60">
        <f>$C$13*B16</f>
        <v>1115.1048245890802</v>
      </c>
      <c r="D16" s="60">
        <f>$D$13*B16</f>
        <v>0.45054740387437586</v>
      </c>
    </row>
    <row r="17" spans="1:4" s="39" customFormat="1" ht="15.75" thickBot="1" x14ac:dyDescent="0.25">
      <c r="A17" s="42" t="s">
        <v>18</v>
      </c>
      <c r="B17" s="43">
        <v>0.05</v>
      </c>
      <c r="C17" s="60">
        <f>$C$13*B17</f>
        <v>1858.5080409818006</v>
      </c>
      <c r="D17" s="60">
        <f>$D$13*B17</f>
        <v>0.75091233979062655</v>
      </c>
    </row>
    <row r="18" spans="1:4" s="37" customFormat="1" ht="15.75" thickBot="1" x14ac:dyDescent="0.25">
      <c r="A18" s="134" t="s">
        <v>30</v>
      </c>
      <c r="B18" s="135"/>
      <c r="C18" s="131">
        <f>SUM(C13:C17)</f>
        <v>47577.805849134093</v>
      </c>
      <c r="D18" s="131">
        <f>SUM(D13:D17)</f>
        <v>19.223355898640037</v>
      </c>
    </row>
  </sheetData>
  <mergeCells count="3">
    <mergeCell ref="A13:B13"/>
    <mergeCell ref="A14:D14"/>
    <mergeCell ref="A18:B18"/>
  </mergeCells>
  <conditionalFormatting sqref="B6 B8">
    <cfRule type="expression" dxfId="1" priority="2">
      <formula>ISBLANK(B6)</formula>
    </cfRule>
  </conditionalFormatting>
  <pageMargins left="0" right="0" top="1" bottom="0" header="0" footer="0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S57"/>
  <sheetViews>
    <sheetView showGridLines="0" tabSelected="1" topLeftCell="A2" zoomScale="70" zoomScaleNormal="70" zoomScaleSheetLayoutView="55" workbookViewId="0">
      <pane ySplit="9" topLeftCell="A11" activePane="bottomLeft" state="frozen"/>
      <selection activeCell="N7" sqref="N7"/>
      <selection pane="bottomLeft" activeCell="C8" sqref="C8"/>
    </sheetView>
  </sheetViews>
  <sheetFormatPr defaultColWidth="9" defaultRowHeight="14.25" x14ac:dyDescent="0.2"/>
  <cols>
    <col min="1" max="1" width="8.625" style="7" customWidth="1"/>
    <col min="2" max="2" width="13.25" style="7" customWidth="1"/>
    <col min="3" max="3" width="45.625" style="7" customWidth="1"/>
    <col min="4" max="4" width="10.625" style="14" customWidth="1"/>
    <col min="5" max="5" width="8.375" style="7" customWidth="1"/>
    <col min="6" max="6" width="10.625" style="14" customWidth="1"/>
    <col min="7" max="7" width="12.625" style="50" customWidth="1"/>
    <col min="8" max="12" width="10.625" style="7" customWidth="1"/>
    <col min="13" max="13" width="12.5" style="7" customWidth="1"/>
    <col min="14" max="14" width="12.875" style="7" customWidth="1"/>
    <col min="15" max="15" width="13.625" style="7" customWidth="1"/>
    <col min="16" max="16" width="15.125" style="7" customWidth="1"/>
    <col min="17" max="17" width="11.125" style="7" bestFit="1" customWidth="1"/>
    <col min="18" max="16384" width="9" style="7"/>
  </cols>
  <sheetData>
    <row r="1" spans="1:17" s="3" customFormat="1" ht="15" hidden="1" customHeight="1" x14ac:dyDescent="0.2">
      <c r="A1" s="15"/>
      <c r="B1" s="16"/>
      <c r="C1" s="16"/>
      <c r="D1" s="16"/>
      <c r="E1" s="16"/>
      <c r="F1" s="16"/>
      <c r="G1" s="44"/>
      <c r="H1" s="16"/>
      <c r="I1" s="16"/>
      <c r="J1" s="16"/>
      <c r="K1" s="16"/>
      <c r="L1" s="16"/>
      <c r="M1" s="16"/>
      <c r="N1" s="16"/>
      <c r="O1" s="16"/>
      <c r="P1" s="16"/>
    </row>
    <row r="2" spans="1:17" ht="15" customHeight="1" x14ac:dyDescent="0.2">
      <c r="A2" s="1"/>
      <c r="B2" s="2"/>
      <c r="C2" s="17"/>
      <c r="D2" s="4"/>
      <c r="E2" s="17"/>
      <c r="F2" s="4"/>
      <c r="G2" s="45"/>
      <c r="H2" s="5"/>
      <c r="I2" s="5"/>
      <c r="J2" s="5"/>
      <c r="K2" s="5"/>
      <c r="L2" s="5"/>
      <c r="M2" s="5"/>
      <c r="N2" s="5"/>
      <c r="O2" s="5"/>
      <c r="P2" s="6"/>
    </row>
    <row r="3" spans="1:17" ht="15" customHeight="1" x14ac:dyDescent="0.2">
      <c r="A3" s="18" t="s">
        <v>26</v>
      </c>
      <c r="B3" s="19"/>
      <c r="C3" s="3"/>
      <c r="D3" s="8"/>
      <c r="E3" s="3"/>
      <c r="F3" s="8"/>
      <c r="G3" s="62"/>
      <c r="H3" s="62"/>
      <c r="K3" s="149"/>
      <c r="L3" s="149"/>
      <c r="M3" s="149"/>
      <c r="N3" s="149"/>
      <c r="P3" s="9"/>
    </row>
    <row r="4" spans="1:17" ht="18.600000000000001" customHeight="1" x14ac:dyDescent="0.2">
      <c r="A4" s="18"/>
      <c r="B4" s="19"/>
      <c r="C4" s="3"/>
      <c r="D4" s="8"/>
      <c r="E4" s="3"/>
      <c r="F4" s="8"/>
      <c r="G4" s="61"/>
      <c r="H4" s="76"/>
      <c r="K4" s="137"/>
      <c r="L4" s="137"/>
      <c r="M4" s="139"/>
      <c r="N4" s="137"/>
      <c r="P4" s="9"/>
    </row>
    <row r="5" spans="1:17" ht="15" customHeight="1" x14ac:dyDescent="0.2">
      <c r="A5" s="18" t="s">
        <v>32</v>
      </c>
      <c r="B5" s="19"/>
      <c r="C5" s="3"/>
      <c r="D5" s="8"/>
      <c r="E5" s="3"/>
      <c r="F5" s="8"/>
      <c r="G5" s="61"/>
      <c r="H5" s="76"/>
      <c r="K5" s="137"/>
      <c r="L5" s="137"/>
      <c r="M5" s="138"/>
      <c r="N5" s="137"/>
      <c r="P5" s="9"/>
    </row>
    <row r="6" spans="1:17" ht="15" customHeight="1" x14ac:dyDescent="0.2">
      <c r="A6" s="18"/>
      <c r="B6" s="19"/>
      <c r="C6" s="3"/>
      <c r="D6" s="8"/>
      <c r="E6" s="3"/>
      <c r="F6" s="8"/>
      <c r="G6" s="61"/>
      <c r="H6" s="76"/>
      <c r="K6" s="137"/>
      <c r="L6" s="137"/>
      <c r="M6" s="138"/>
      <c r="N6" s="137"/>
      <c r="P6" s="9"/>
    </row>
    <row r="7" spans="1:17" ht="15" customHeight="1" x14ac:dyDescent="0.2">
      <c r="A7" s="18" t="s">
        <v>21</v>
      </c>
      <c r="B7" s="126" t="s">
        <v>61</v>
      </c>
      <c r="C7" s="3"/>
      <c r="D7" s="8"/>
      <c r="E7" s="3"/>
      <c r="F7" s="8"/>
      <c r="G7" s="46"/>
      <c r="K7" s="137"/>
      <c r="L7" s="137"/>
      <c r="M7" s="138"/>
      <c r="N7" s="137"/>
      <c r="P7" s="9"/>
    </row>
    <row r="8" spans="1:17" ht="15" customHeight="1" x14ac:dyDescent="0.2">
      <c r="A8" s="18"/>
      <c r="B8" s="19"/>
      <c r="C8" s="3"/>
      <c r="D8" s="8"/>
      <c r="E8" s="3"/>
      <c r="F8" s="8"/>
      <c r="G8" s="46"/>
      <c r="K8" s="137"/>
      <c r="L8" s="137"/>
      <c r="M8" s="139"/>
      <c r="N8" s="137"/>
      <c r="P8" s="9"/>
    </row>
    <row r="9" spans="1:17" ht="15" customHeight="1" x14ac:dyDescent="0.2">
      <c r="A9" s="18" t="s">
        <v>19</v>
      </c>
      <c r="B9" s="3"/>
      <c r="C9" s="3"/>
      <c r="D9" s="8"/>
      <c r="E9" s="3"/>
      <c r="F9" s="8"/>
      <c r="G9" s="46"/>
      <c r="P9" s="9"/>
    </row>
    <row r="10" spans="1:17" s="3" customFormat="1" ht="61.35" customHeight="1" x14ac:dyDescent="0.2">
      <c r="A10" s="107" t="s">
        <v>7</v>
      </c>
      <c r="B10" s="108" t="s">
        <v>25</v>
      </c>
      <c r="C10" s="106" t="s">
        <v>0</v>
      </c>
      <c r="D10" s="109" t="s">
        <v>1</v>
      </c>
      <c r="E10" s="106" t="s">
        <v>2</v>
      </c>
      <c r="F10" s="109" t="s">
        <v>22</v>
      </c>
      <c r="G10" s="110" t="s">
        <v>23</v>
      </c>
      <c r="H10" s="111" t="s">
        <v>35</v>
      </c>
      <c r="I10" s="108" t="s">
        <v>33</v>
      </c>
      <c r="J10" s="111" t="s">
        <v>36</v>
      </c>
      <c r="K10" s="108" t="s">
        <v>34</v>
      </c>
      <c r="L10" s="108" t="s">
        <v>27</v>
      </c>
      <c r="M10" s="108" t="s">
        <v>37</v>
      </c>
      <c r="N10" s="108" t="s">
        <v>28</v>
      </c>
      <c r="O10" s="108" t="s">
        <v>38</v>
      </c>
      <c r="P10" s="112" t="s">
        <v>11</v>
      </c>
    </row>
    <row r="11" spans="1:17" s="3" customFormat="1" ht="18" customHeight="1" x14ac:dyDescent="0.2">
      <c r="A11" s="113"/>
      <c r="B11" s="146" t="s">
        <v>57</v>
      </c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14"/>
    </row>
    <row r="12" spans="1:17" ht="18" customHeight="1" x14ac:dyDescent="0.2">
      <c r="A12" s="98">
        <v>1</v>
      </c>
      <c r="B12" s="99"/>
      <c r="C12" s="100" t="s">
        <v>8</v>
      </c>
      <c r="D12" s="99">
        <v>1</v>
      </c>
      <c r="E12" s="99" t="s">
        <v>6</v>
      </c>
      <c r="F12" s="93">
        <v>0</v>
      </c>
      <c r="G12" s="94">
        <f t="shared" ref="G12:G18" si="0">(F12*D12)+D12</f>
        <v>1</v>
      </c>
      <c r="H12" s="95">
        <f>2.5%*$Q$12/I12</f>
        <v>15.915578561463324</v>
      </c>
      <c r="I12" s="96">
        <v>52.21</v>
      </c>
      <c r="J12" s="94">
        <f t="shared" ref="J12:J18" si="1">H12*G12</f>
        <v>15.915578561463324</v>
      </c>
      <c r="K12" s="96">
        <f t="shared" ref="K12:K18" si="2">I12*J12</f>
        <v>830.95235669400017</v>
      </c>
      <c r="L12" s="96">
        <v>0</v>
      </c>
      <c r="M12" s="96">
        <f t="shared" ref="M12:M18" si="3">L12*G12</f>
        <v>0</v>
      </c>
      <c r="N12" s="96">
        <v>0</v>
      </c>
      <c r="O12" s="96">
        <f t="shared" ref="O12:O18" si="4">N12*G12</f>
        <v>0</v>
      </c>
      <c r="P12" s="97">
        <f t="shared" ref="P12:P18" si="5">IF(D12="","",(K12+M12+O12))</f>
        <v>830.95235669400017</v>
      </c>
      <c r="Q12" s="51">
        <f>SUM(P23:P37)/2</f>
        <v>33238.094267760003</v>
      </c>
    </row>
    <row r="13" spans="1:17" ht="18" customHeight="1" x14ac:dyDescent="0.2">
      <c r="A13" s="101">
        <f t="shared" ref="A13:A18" si="6">A12+1</f>
        <v>2</v>
      </c>
      <c r="B13" s="21"/>
      <c r="C13" s="22" t="s">
        <v>10</v>
      </c>
      <c r="D13" s="21">
        <v>1</v>
      </c>
      <c r="E13" s="21" t="s">
        <v>6</v>
      </c>
      <c r="F13" s="93">
        <v>0</v>
      </c>
      <c r="G13" s="94">
        <f t="shared" si="0"/>
        <v>1</v>
      </c>
      <c r="H13" s="95">
        <f>1.65%*$Q$12/I13</f>
        <v>10.504281850565794</v>
      </c>
      <c r="I13" s="96">
        <v>52.21</v>
      </c>
      <c r="J13" s="94">
        <f t="shared" si="1"/>
        <v>10.504281850565794</v>
      </c>
      <c r="K13" s="96">
        <f t="shared" si="2"/>
        <v>548.4285554180401</v>
      </c>
      <c r="L13" s="96">
        <v>0</v>
      </c>
      <c r="M13" s="96">
        <f t="shared" si="3"/>
        <v>0</v>
      </c>
      <c r="N13" s="96">
        <v>0</v>
      </c>
      <c r="O13" s="96">
        <f t="shared" si="4"/>
        <v>0</v>
      </c>
      <c r="P13" s="97">
        <f t="shared" si="5"/>
        <v>548.4285554180401</v>
      </c>
    </row>
    <row r="14" spans="1:17" ht="18" customHeight="1" x14ac:dyDescent="0.2">
      <c r="A14" s="101">
        <f t="shared" si="6"/>
        <v>3</v>
      </c>
      <c r="B14" s="21"/>
      <c r="C14" s="22" t="s">
        <v>9</v>
      </c>
      <c r="D14" s="21">
        <v>1</v>
      </c>
      <c r="E14" s="21" t="s">
        <v>6</v>
      </c>
      <c r="F14" s="93">
        <v>0</v>
      </c>
      <c r="G14" s="94">
        <f t="shared" si="0"/>
        <v>1</v>
      </c>
      <c r="H14" s="95">
        <f>0.85%*$Q$12/I14</f>
        <v>5.4112967108975303</v>
      </c>
      <c r="I14" s="96">
        <v>52.21</v>
      </c>
      <c r="J14" s="94">
        <f t="shared" si="1"/>
        <v>5.4112967108975303</v>
      </c>
      <c r="K14" s="96">
        <f t="shared" si="2"/>
        <v>282.52380127596007</v>
      </c>
      <c r="L14" s="96">
        <v>0</v>
      </c>
      <c r="M14" s="96">
        <f t="shared" si="3"/>
        <v>0</v>
      </c>
      <c r="N14" s="96">
        <v>0</v>
      </c>
      <c r="O14" s="96">
        <f t="shared" si="4"/>
        <v>0</v>
      </c>
      <c r="P14" s="97">
        <f t="shared" si="5"/>
        <v>282.52380127596007</v>
      </c>
    </row>
    <row r="15" spans="1:17" ht="18" customHeight="1" x14ac:dyDescent="0.2">
      <c r="A15" s="101">
        <f t="shared" si="6"/>
        <v>4</v>
      </c>
      <c r="B15" s="21"/>
      <c r="C15" s="22" t="s">
        <v>3</v>
      </c>
      <c r="D15" s="21">
        <v>1</v>
      </c>
      <c r="E15" s="21" t="s">
        <v>6</v>
      </c>
      <c r="F15" s="93">
        <v>0</v>
      </c>
      <c r="G15" s="94">
        <f t="shared" si="0"/>
        <v>1</v>
      </c>
      <c r="H15" s="95">
        <f>2.35%*$Q$12/I15</f>
        <v>14.960643847775524</v>
      </c>
      <c r="I15" s="96">
        <v>52.21</v>
      </c>
      <c r="J15" s="94">
        <f t="shared" si="1"/>
        <v>14.960643847775524</v>
      </c>
      <c r="K15" s="96">
        <f t="shared" si="2"/>
        <v>781.09521529236008</v>
      </c>
      <c r="L15" s="96">
        <v>0</v>
      </c>
      <c r="M15" s="96">
        <f t="shared" si="3"/>
        <v>0</v>
      </c>
      <c r="N15" s="96">
        <v>0</v>
      </c>
      <c r="O15" s="96">
        <f t="shared" si="4"/>
        <v>0</v>
      </c>
      <c r="P15" s="97">
        <f t="shared" si="5"/>
        <v>781.09521529236008</v>
      </c>
    </row>
    <row r="16" spans="1:17" ht="18" customHeight="1" x14ac:dyDescent="0.2">
      <c r="A16" s="101">
        <f t="shared" si="6"/>
        <v>5</v>
      </c>
      <c r="B16" s="102"/>
      <c r="C16" s="103" t="s">
        <v>29</v>
      </c>
      <c r="D16" s="102">
        <v>1</v>
      </c>
      <c r="E16" s="102" t="s">
        <v>6</v>
      </c>
      <c r="F16" s="93">
        <v>0</v>
      </c>
      <c r="G16" s="94">
        <f t="shared" si="0"/>
        <v>1</v>
      </c>
      <c r="H16" s="95">
        <f>2%*$Q$12/I16</f>
        <v>12.732462849170659</v>
      </c>
      <c r="I16" s="96">
        <v>52.21</v>
      </c>
      <c r="J16" s="94">
        <f t="shared" si="1"/>
        <v>12.732462849170659</v>
      </c>
      <c r="K16" s="96">
        <f t="shared" si="2"/>
        <v>664.76188535520009</v>
      </c>
      <c r="L16" s="96">
        <v>0</v>
      </c>
      <c r="M16" s="96">
        <f t="shared" si="3"/>
        <v>0</v>
      </c>
      <c r="N16" s="96">
        <v>0</v>
      </c>
      <c r="O16" s="96">
        <f t="shared" si="4"/>
        <v>0</v>
      </c>
      <c r="P16" s="97">
        <f t="shared" si="5"/>
        <v>664.76188535520009</v>
      </c>
    </row>
    <row r="17" spans="1:19" ht="18" customHeight="1" x14ac:dyDescent="0.2">
      <c r="A17" s="101">
        <f t="shared" si="6"/>
        <v>6</v>
      </c>
      <c r="B17" s="102"/>
      <c r="C17" s="103" t="s">
        <v>4</v>
      </c>
      <c r="D17" s="102">
        <v>1</v>
      </c>
      <c r="E17" s="102" t="s">
        <v>6</v>
      </c>
      <c r="F17" s="93">
        <v>0</v>
      </c>
      <c r="G17" s="94">
        <f t="shared" si="0"/>
        <v>1</v>
      </c>
      <c r="H17" s="95">
        <f>0.98%*$Q$12/I17</f>
        <v>6.2389067960936222</v>
      </c>
      <c r="I17" s="96">
        <v>52.21</v>
      </c>
      <c r="J17" s="94">
        <f t="shared" si="1"/>
        <v>6.2389067960936222</v>
      </c>
      <c r="K17" s="96">
        <f t="shared" si="2"/>
        <v>325.733323824048</v>
      </c>
      <c r="L17" s="96">
        <v>0</v>
      </c>
      <c r="M17" s="96">
        <f t="shared" si="3"/>
        <v>0</v>
      </c>
      <c r="N17" s="96">
        <v>0</v>
      </c>
      <c r="O17" s="96">
        <f t="shared" si="4"/>
        <v>0</v>
      </c>
      <c r="P17" s="97">
        <f t="shared" si="5"/>
        <v>325.733323824048</v>
      </c>
    </row>
    <row r="18" spans="1:19" ht="18" customHeight="1" x14ac:dyDescent="0.2">
      <c r="A18" s="104">
        <f t="shared" si="6"/>
        <v>7</v>
      </c>
      <c r="B18" s="102"/>
      <c r="C18" s="103" t="s">
        <v>14</v>
      </c>
      <c r="D18" s="105">
        <v>1</v>
      </c>
      <c r="E18" s="102" t="s">
        <v>6</v>
      </c>
      <c r="F18" s="93">
        <v>0</v>
      </c>
      <c r="G18" s="94">
        <f t="shared" si="0"/>
        <v>1</v>
      </c>
      <c r="H18" s="95">
        <f>1.5%*$Q$12/I18</f>
        <v>9.5493471368779925</v>
      </c>
      <c r="I18" s="96">
        <v>52.21</v>
      </c>
      <c r="J18" s="94">
        <f t="shared" si="1"/>
        <v>9.5493471368779925</v>
      </c>
      <c r="K18" s="96">
        <f t="shared" si="2"/>
        <v>498.57141401640001</v>
      </c>
      <c r="L18" s="96">
        <v>0</v>
      </c>
      <c r="M18" s="96">
        <f t="shared" si="3"/>
        <v>0</v>
      </c>
      <c r="N18" s="96">
        <v>0</v>
      </c>
      <c r="O18" s="96">
        <f t="shared" si="4"/>
        <v>0</v>
      </c>
      <c r="P18" s="97">
        <f t="shared" si="5"/>
        <v>498.57141401640001</v>
      </c>
      <c r="R18" s="51"/>
      <c r="S18" s="51"/>
    </row>
    <row r="19" spans="1:19" s="3" customFormat="1" ht="18" customHeight="1" x14ac:dyDescent="0.2">
      <c r="A19" s="117" t="str">
        <f>IF(E19=0,"",1+MAX(#REF!))</f>
        <v/>
      </c>
      <c r="B19" s="118"/>
      <c r="C19" s="119"/>
      <c r="D19" s="120"/>
      <c r="E19" s="120"/>
      <c r="F19" s="120"/>
      <c r="G19" s="121"/>
      <c r="H19" s="120"/>
      <c r="I19" s="120"/>
      <c r="J19" s="120"/>
      <c r="K19" s="120"/>
      <c r="L19" s="120"/>
      <c r="M19" s="120"/>
      <c r="N19" s="120"/>
      <c r="O19" s="120" t="s">
        <v>24</v>
      </c>
      <c r="P19" s="122">
        <f>SUM(P12:P18)</f>
        <v>3932.0665518760088</v>
      </c>
    </row>
    <row r="20" spans="1:19" ht="18" customHeight="1" x14ac:dyDescent="0.2">
      <c r="A20" s="68" t="str">
        <f>IF(E20=0,"",1+MAX(A19:A19))</f>
        <v/>
      </c>
      <c r="B20" s="69"/>
      <c r="C20" s="23"/>
      <c r="D20" s="24"/>
      <c r="E20" s="23"/>
      <c r="F20" s="24"/>
      <c r="G20" s="47"/>
      <c r="H20" s="11"/>
      <c r="I20" s="25"/>
      <c r="J20" s="11"/>
      <c r="K20" s="25"/>
      <c r="L20" s="25"/>
      <c r="M20" s="25"/>
      <c r="N20" s="25"/>
      <c r="O20" s="25"/>
      <c r="P20" s="26"/>
    </row>
    <row r="21" spans="1:19" s="3" customFormat="1" ht="18" customHeight="1" x14ac:dyDescent="0.2">
      <c r="A21" s="113" t="str">
        <f>IF(E21=0,"",1+MAX(A19:A20))</f>
        <v/>
      </c>
      <c r="B21" s="146" t="s">
        <v>60</v>
      </c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6"/>
      <c r="N21" s="146"/>
      <c r="O21" s="146"/>
      <c r="P21" s="114"/>
    </row>
    <row r="22" spans="1:19" s="3" customFormat="1" ht="15" x14ac:dyDescent="0.2">
      <c r="A22" s="83" t="str">
        <f>IF(E22=0,"",1+MAX(A19:A21))</f>
        <v/>
      </c>
      <c r="B22" s="29"/>
      <c r="C22" s="77" t="s">
        <v>61</v>
      </c>
      <c r="D22" s="28"/>
      <c r="E22" s="28"/>
      <c r="F22" s="84"/>
      <c r="G22" s="85"/>
      <c r="H22" s="85"/>
      <c r="I22" s="86"/>
      <c r="J22" s="85"/>
      <c r="K22" s="86"/>
      <c r="L22" s="86"/>
      <c r="M22" s="86"/>
      <c r="N22" s="86"/>
      <c r="O22" s="86"/>
      <c r="P22" s="86"/>
    </row>
    <row r="23" spans="1:19" ht="13.5" customHeight="1" x14ac:dyDescent="0.2">
      <c r="A23" s="27">
        <f>IF(D23=0,"",1+MAX(A$12:A22))</f>
        <v>8</v>
      </c>
      <c r="B23" s="147" t="s">
        <v>62</v>
      </c>
      <c r="C23" s="53" t="s">
        <v>63</v>
      </c>
      <c r="D23" s="28">
        <v>1963.44</v>
      </c>
      <c r="E23" s="28" t="s">
        <v>52</v>
      </c>
      <c r="F23" s="84">
        <v>0.1</v>
      </c>
      <c r="G23" s="85">
        <f t="shared" ref="G23" si="7">(F23*D23)+D23</f>
        <v>2159.7840000000001</v>
      </c>
      <c r="H23" s="85">
        <v>0.05</v>
      </c>
      <c r="I23" s="86">
        <v>42.56</v>
      </c>
      <c r="J23" s="85">
        <f t="shared" ref="J23" si="8">H23*G23</f>
        <v>107.98920000000001</v>
      </c>
      <c r="K23" s="86">
        <f t="shared" ref="K23" si="9">I23*J23</f>
        <v>4596.0203520000005</v>
      </c>
      <c r="L23" s="86">
        <v>6.1</v>
      </c>
      <c r="M23" s="86">
        <f t="shared" ref="M23" si="10">L23*G23</f>
        <v>13174.6824</v>
      </c>
      <c r="N23" s="86">
        <v>0</v>
      </c>
      <c r="O23" s="86">
        <f t="shared" ref="O23" si="11">N23*G23</f>
        <v>0</v>
      </c>
      <c r="P23" s="86">
        <f t="shared" ref="P23" si="12">IF(D23="","",(K23+M23+O23))</f>
        <v>17770.702752000001</v>
      </c>
      <c r="R23" s="51"/>
      <c r="S23" s="51"/>
    </row>
    <row r="24" spans="1:19" ht="13.5" customHeight="1" x14ac:dyDescent="0.2">
      <c r="A24" s="27">
        <f ca="1">IF(D24=0,"",1+MAX(A$12:A32))</f>
        <v>17</v>
      </c>
      <c r="B24" s="148"/>
      <c r="C24" s="53" t="s">
        <v>71</v>
      </c>
      <c r="D24" s="28">
        <v>161.05000000000001</v>
      </c>
      <c r="E24" s="28" t="s">
        <v>52</v>
      </c>
      <c r="F24" s="84">
        <v>0.1</v>
      </c>
      <c r="G24" s="85">
        <f>(F24*D24)+D24</f>
        <v>177.155</v>
      </c>
      <c r="H24" s="85">
        <v>0.05</v>
      </c>
      <c r="I24" s="86">
        <v>42.56</v>
      </c>
      <c r="J24" s="85">
        <f>H24*G24</f>
        <v>8.8577500000000011</v>
      </c>
      <c r="K24" s="86">
        <f>I24*J24</f>
        <v>376.98584000000005</v>
      </c>
      <c r="L24" s="86">
        <v>6.1</v>
      </c>
      <c r="M24" s="86">
        <f>L24*G24</f>
        <v>1080.6454999999999</v>
      </c>
      <c r="N24" s="86">
        <v>0</v>
      </c>
      <c r="O24" s="86">
        <f>N24*G24</f>
        <v>0</v>
      </c>
      <c r="P24" s="86">
        <f>IF(D24="","",(K24+M24+O24))</f>
        <v>1457.6313399999999</v>
      </c>
      <c r="R24" s="51"/>
      <c r="S24" s="51"/>
    </row>
    <row r="25" spans="1:19" ht="13.5" customHeight="1" x14ac:dyDescent="0.2">
      <c r="A25" s="125">
        <f ca="1">IF(D25=0,"",1+MAX(A$12:A24))</f>
        <v>18</v>
      </c>
      <c r="B25" s="148"/>
      <c r="C25" s="53" t="s">
        <v>72</v>
      </c>
      <c r="D25" s="28">
        <v>217.38</v>
      </c>
      <c r="E25" s="28" t="s">
        <v>52</v>
      </c>
      <c r="F25" s="84">
        <v>0.1</v>
      </c>
      <c r="G25" s="85">
        <f>(F25*D25)+D25</f>
        <v>239.11799999999999</v>
      </c>
      <c r="H25" s="85">
        <v>0.185</v>
      </c>
      <c r="I25" s="86">
        <v>42.56</v>
      </c>
      <c r="J25" s="85">
        <f>H25*G25</f>
        <v>44.236829999999998</v>
      </c>
      <c r="K25" s="86">
        <f>I25*J25</f>
        <v>1882.7194847999999</v>
      </c>
      <c r="L25" s="86">
        <v>5.98</v>
      </c>
      <c r="M25" s="86">
        <f>L25*G25</f>
        <v>1429.9256400000002</v>
      </c>
      <c r="N25" s="86">
        <v>0</v>
      </c>
      <c r="O25" s="86">
        <f>N25*G25</f>
        <v>0</v>
      </c>
      <c r="P25" s="86">
        <f>IF(D25="","",(K25+M25+O25))</f>
        <v>3312.6451248000003</v>
      </c>
      <c r="R25" s="51"/>
      <c r="S25" s="51"/>
    </row>
    <row r="26" spans="1:19" ht="13.5" customHeight="1" x14ac:dyDescent="0.2">
      <c r="A26" s="125">
        <f ca="1">IF(D26=0,"",1+MAX(A$12:A32))</f>
        <v>19</v>
      </c>
      <c r="B26" s="148"/>
      <c r="C26" s="53" t="s">
        <v>76</v>
      </c>
      <c r="D26" s="28">
        <v>2341</v>
      </c>
      <c r="E26" s="28" t="s">
        <v>52</v>
      </c>
      <c r="F26" s="84">
        <v>0.1</v>
      </c>
      <c r="G26" s="85">
        <f>(F26*D26)+D26</f>
        <v>2575.1</v>
      </c>
      <c r="H26" s="85">
        <v>6.0000000000000001E-3</v>
      </c>
      <c r="I26" s="86">
        <v>42.56</v>
      </c>
      <c r="J26" s="85">
        <f>H26*G26</f>
        <v>15.4506</v>
      </c>
      <c r="K26" s="86">
        <f>I26*J26</f>
        <v>657.57753600000001</v>
      </c>
      <c r="L26" s="86">
        <v>0.34</v>
      </c>
      <c r="M26" s="86">
        <f>L26*G26</f>
        <v>875.53399999999999</v>
      </c>
      <c r="N26" s="86">
        <v>0</v>
      </c>
      <c r="O26" s="86">
        <f>N26*G26</f>
        <v>0</v>
      </c>
      <c r="P26" s="86">
        <f>IF(D26="","",(K26+M26+O26))</f>
        <v>1533.1115359999999</v>
      </c>
      <c r="R26" s="51"/>
      <c r="S26" s="51"/>
    </row>
    <row r="27" spans="1:19" ht="13.5" customHeight="1" x14ac:dyDescent="0.2">
      <c r="A27" s="27" t="str">
        <f>IF(D27=0,"",1+MAX(A$19:A23))</f>
        <v/>
      </c>
      <c r="B27" s="148"/>
      <c r="C27" s="77" t="s">
        <v>75</v>
      </c>
      <c r="D27" s="28"/>
      <c r="E27" s="28"/>
      <c r="F27" s="84"/>
      <c r="G27" s="85"/>
      <c r="H27" s="85"/>
      <c r="I27" s="86"/>
      <c r="J27" s="85"/>
      <c r="K27" s="86"/>
      <c r="L27" s="86"/>
      <c r="M27" s="86"/>
      <c r="N27" s="86"/>
      <c r="O27" s="86"/>
      <c r="P27" s="86"/>
      <c r="R27" s="51"/>
      <c r="S27" s="51"/>
    </row>
    <row r="28" spans="1:19" ht="13.5" customHeight="1" x14ac:dyDescent="0.2">
      <c r="A28" s="27">
        <f ca="1">IF(D28=0,"",1+MAX(A$12:A27))</f>
        <v>10</v>
      </c>
      <c r="B28" s="148"/>
      <c r="C28" s="53" t="s">
        <v>64</v>
      </c>
      <c r="D28" s="28">
        <v>232.99</v>
      </c>
      <c r="E28" s="28" t="s">
        <v>56</v>
      </c>
      <c r="F28" s="84">
        <v>0.1</v>
      </c>
      <c r="G28" s="85">
        <f t="shared" ref="G28:G32" si="13">(F28*D28)+D28</f>
        <v>256.28899999999999</v>
      </c>
      <c r="H28" s="85">
        <v>4.3999999999999997E-2</v>
      </c>
      <c r="I28" s="86">
        <v>42.56</v>
      </c>
      <c r="J28" s="85">
        <f t="shared" ref="J28:J32" si="14">H28*G28</f>
        <v>11.276715999999999</v>
      </c>
      <c r="K28" s="86">
        <f t="shared" ref="K28:K32" si="15">I28*J28</f>
        <v>479.93703295999995</v>
      </c>
      <c r="L28" s="86">
        <v>4.12</v>
      </c>
      <c r="M28" s="86">
        <f t="shared" ref="M28:M32" si="16">L28*G28</f>
        <v>1055.91068</v>
      </c>
      <c r="N28" s="86">
        <v>0</v>
      </c>
      <c r="O28" s="86">
        <f t="shared" ref="O28:O32" si="17">N28*G28</f>
        <v>0</v>
      </c>
      <c r="P28" s="86">
        <f t="shared" ref="P28:P32" si="18">IF(D28="","",(K28+M28+O28))</f>
        <v>1535.8477129599999</v>
      </c>
      <c r="R28" s="51"/>
      <c r="S28" s="51"/>
    </row>
    <row r="29" spans="1:19" ht="13.5" customHeight="1" x14ac:dyDescent="0.2">
      <c r="A29" s="27">
        <f ca="1">IF(D29=0,"",1+MAX(A$12:A28))</f>
        <v>11</v>
      </c>
      <c r="B29" s="148"/>
      <c r="C29" s="53" t="s">
        <v>65</v>
      </c>
      <c r="D29" s="28">
        <v>232.99</v>
      </c>
      <c r="E29" s="28" t="s">
        <v>56</v>
      </c>
      <c r="F29" s="84">
        <v>0.1</v>
      </c>
      <c r="G29" s="85">
        <f t="shared" si="13"/>
        <v>256.28899999999999</v>
      </c>
      <c r="H29" s="85">
        <v>3.7999999999999999E-2</v>
      </c>
      <c r="I29" s="86">
        <v>42.56</v>
      </c>
      <c r="J29" s="85">
        <f t="shared" si="14"/>
        <v>9.738982</v>
      </c>
      <c r="K29" s="86">
        <f t="shared" si="15"/>
        <v>414.49107392000002</v>
      </c>
      <c r="L29" s="86">
        <v>3.58</v>
      </c>
      <c r="M29" s="86">
        <f t="shared" si="16"/>
        <v>917.51461999999992</v>
      </c>
      <c r="N29" s="86">
        <v>0</v>
      </c>
      <c r="O29" s="86">
        <f t="shared" si="17"/>
        <v>0</v>
      </c>
      <c r="P29" s="86">
        <f t="shared" si="18"/>
        <v>1332.0056939199999</v>
      </c>
      <c r="R29" s="51"/>
      <c r="S29" s="51"/>
    </row>
    <row r="30" spans="1:19" ht="13.5" customHeight="1" x14ac:dyDescent="0.2">
      <c r="A30" s="27">
        <f ca="1">IF(D30=0,"",1+MAX(A$12:A29))</f>
        <v>12</v>
      </c>
      <c r="B30" s="148"/>
      <c r="C30" s="53" t="s">
        <v>66</v>
      </c>
      <c r="D30" s="28">
        <v>232.99</v>
      </c>
      <c r="E30" s="28" t="s">
        <v>56</v>
      </c>
      <c r="F30" s="84">
        <v>0.1</v>
      </c>
      <c r="G30" s="85">
        <f t="shared" si="13"/>
        <v>256.28899999999999</v>
      </c>
      <c r="H30" s="85">
        <v>4.2000000000000003E-2</v>
      </c>
      <c r="I30" s="86">
        <v>42.56</v>
      </c>
      <c r="J30" s="85">
        <f t="shared" si="14"/>
        <v>10.764138000000001</v>
      </c>
      <c r="K30" s="86">
        <f t="shared" si="15"/>
        <v>458.12171328000005</v>
      </c>
      <c r="L30" s="86">
        <v>3.89</v>
      </c>
      <c r="M30" s="86">
        <f t="shared" si="16"/>
        <v>996.96420999999998</v>
      </c>
      <c r="N30" s="86">
        <v>0</v>
      </c>
      <c r="O30" s="86">
        <f t="shared" si="17"/>
        <v>0</v>
      </c>
      <c r="P30" s="86">
        <f t="shared" si="18"/>
        <v>1455.0859232800001</v>
      </c>
      <c r="R30" s="51"/>
      <c r="S30" s="51"/>
    </row>
    <row r="31" spans="1:19" ht="13.5" customHeight="1" x14ac:dyDescent="0.2">
      <c r="A31" s="27">
        <f ca="1">IF(D31=0,"",1+MAX(A$12:A36))</f>
        <v>15</v>
      </c>
      <c r="B31" s="148"/>
      <c r="C31" s="53" t="s">
        <v>69</v>
      </c>
      <c r="D31" s="28">
        <v>232.99</v>
      </c>
      <c r="E31" s="28" t="s">
        <v>56</v>
      </c>
      <c r="F31" s="84">
        <v>0.1</v>
      </c>
      <c r="G31" s="85">
        <f t="shared" si="13"/>
        <v>256.28899999999999</v>
      </c>
      <c r="H31" s="85">
        <v>2.5000000000000001E-2</v>
      </c>
      <c r="I31" s="86">
        <v>42.56</v>
      </c>
      <c r="J31" s="85">
        <f t="shared" si="14"/>
        <v>6.4072250000000004</v>
      </c>
      <c r="K31" s="86">
        <f t="shared" si="15"/>
        <v>272.69149600000003</v>
      </c>
      <c r="L31" s="86">
        <v>0.5</v>
      </c>
      <c r="M31" s="86">
        <f t="shared" si="16"/>
        <v>128.14449999999999</v>
      </c>
      <c r="N31" s="86">
        <v>0</v>
      </c>
      <c r="O31" s="86">
        <f t="shared" si="17"/>
        <v>0</v>
      </c>
      <c r="P31" s="86">
        <f t="shared" si="18"/>
        <v>400.83599600000002</v>
      </c>
      <c r="R31" s="51"/>
      <c r="S31" s="51"/>
    </row>
    <row r="32" spans="1:19" ht="13.5" customHeight="1" x14ac:dyDescent="0.2">
      <c r="A32" s="27">
        <f ca="1">IF(D32=0,"",1+MAX(A$12:A31))</f>
        <v>16</v>
      </c>
      <c r="B32" s="148"/>
      <c r="C32" s="53" t="s">
        <v>70</v>
      </c>
      <c r="D32" s="28">
        <v>224.34</v>
      </c>
      <c r="E32" s="28" t="s">
        <v>56</v>
      </c>
      <c r="F32" s="84">
        <v>0.1</v>
      </c>
      <c r="G32" s="85">
        <f t="shared" si="13"/>
        <v>246.774</v>
      </c>
      <c r="H32" s="85">
        <v>0.03</v>
      </c>
      <c r="I32" s="86">
        <v>42.56</v>
      </c>
      <c r="J32" s="85">
        <f t="shared" si="14"/>
        <v>7.4032200000000001</v>
      </c>
      <c r="K32" s="86">
        <f t="shared" si="15"/>
        <v>315.08104320000001</v>
      </c>
      <c r="L32" s="86">
        <v>0.8</v>
      </c>
      <c r="M32" s="86">
        <f t="shared" si="16"/>
        <v>197.41920000000002</v>
      </c>
      <c r="N32" s="86">
        <v>0</v>
      </c>
      <c r="O32" s="86">
        <f t="shared" si="17"/>
        <v>0</v>
      </c>
      <c r="P32" s="86">
        <f t="shared" si="18"/>
        <v>512.5002432</v>
      </c>
      <c r="R32" s="51"/>
      <c r="S32" s="51"/>
    </row>
    <row r="33" spans="1:19" s="3" customFormat="1" ht="15" x14ac:dyDescent="0.2">
      <c r="A33" s="83" t="str">
        <f>IF(E33=0,"",1+MAX(A20:A24))</f>
        <v/>
      </c>
      <c r="B33" s="148"/>
      <c r="C33" s="77" t="s">
        <v>73</v>
      </c>
      <c r="D33" s="28"/>
      <c r="E33" s="28"/>
      <c r="F33" s="84"/>
      <c r="G33" s="85"/>
      <c r="H33" s="85"/>
      <c r="I33" s="86"/>
      <c r="J33" s="85"/>
      <c r="K33" s="86"/>
      <c r="L33" s="86"/>
      <c r="M33" s="86"/>
      <c r="N33" s="86"/>
      <c r="O33" s="86"/>
      <c r="P33" s="86"/>
    </row>
    <row r="34" spans="1:19" ht="13.5" customHeight="1" x14ac:dyDescent="0.2">
      <c r="A34" s="27">
        <f ca="1">IF(D34=0,"",1+MAX(A$12:A33))</f>
        <v>20</v>
      </c>
      <c r="B34" s="148"/>
      <c r="C34" s="53" t="s">
        <v>74</v>
      </c>
      <c r="D34" s="28">
        <v>44.36</v>
      </c>
      <c r="E34" s="28" t="s">
        <v>56</v>
      </c>
      <c r="F34" s="84">
        <v>0.1</v>
      </c>
      <c r="G34" s="85">
        <f t="shared" ref="G34" si="19">(F34*D34)+D34</f>
        <v>48.795999999999999</v>
      </c>
      <c r="H34" s="85">
        <v>0.06</v>
      </c>
      <c r="I34" s="86">
        <v>42.56</v>
      </c>
      <c r="J34" s="85">
        <f t="shared" ref="J34" si="20">H34*G34</f>
        <v>2.9277599999999997</v>
      </c>
      <c r="K34" s="86">
        <f t="shared" ref="K34" si="21">I34*J34</f>
        <v>124.60546559999999</v>
      </c>
      <c r="L34" s="86">
        <v>5.74</v>
      </c>
      <c r="M34" s="86">
        <f t="shared" ref="M34" si="22">L34*G34</f>
        <v>280.08904000000001</v>
      </c>
      <c r="N34" s="86">
        <v>0</v>
      </c>
      <c r="O34" s="86">
        <f t="shared" ref="O34" si="23">N34*G34</f>
        <v>0</v>
      </c>
      <c r="P34" s="86">
        <f t="shared" ref="P34" si="24">IF(D34="","",(K34+M34+O34))</f>
        <v>404.69450560000001</v>
      </c>
      <c r="R34" s="51"/>
      <c r="S34" s="51"/>
    </row>
    <row r="35" spans="1:19" ht="13.5" customHeight="1" x14ac:dyDescent="0.2">
      <c r="A35" s="27">
        <f ca="1">IF(D35=0,"",1+MAX(A$12:A30))</f>
        <v>13</v>
      </c>
      <c r="B35" s="148"/>
      <c r="C35" s="53" t="s">
        <v>67</v>
      </c>
      <c r="D35" s="28">
        <v>3</v>
      </c>
      <c r="E35" s="28" t="s">
        <v>55</v>
      </c>
      <c r="F35" s="84">
        <v>0</v>
      </c>
      <c r="G35" s="85">
        <f>(F35*D35)+D35</f>
        <v>3</v>
      </c>
      <c r="H35" s="85">
        <v>4.5720000000000001</v>
      </c>
      <c r="I35" s="86">
        <v>42.56</v>
      </c>
      <c r="J35" s="85">
        <f>H35*G35</f>
        <v>13.716000000000001</v>
      </c>
      <c r="K35" s="86">
        <f>I35*J35</f>
        <v>583.75296000000003</v>
      </c>
      <c r="L35" s="86">
        <v>399.95</v>
      </c>
      <c r="M35" s="86">
        <f>L35*G35</f>
        <v>1199.8499999999999</v>
      </c>
      <c r="N35" s="86">
        <v>0</v>
      </c>
      <c r="O35" s="86">
        <f>N35*G35</f>
        <v>0</v>
      </c>
      <c r="P35" s="86">
        <f>IF(D35="","",(K35+M35+O35))</f>
        <v>1783.6029599999999</v>
      </c>
      <c r="R35" s="51"/>
      <c r="S35" s="51"/>
    </row>
    <row r="36" spans="1:19" ht="13.5" customHeight="1" x14ac:dyDescent="0.2">
      <c r="A36" s="27">
        <f ca="1">IF(D36=0,"",1+MAX(A$12:A35))</f>
        <v>14</v>
      </c>
      <c r="B36" s="148"/>
      <c r="C36" s="53" t="s">
        <v>68</v>
      </c>
      <c r="D36" s="28">
        <v>3</v>
      </c>
      <c r="E36" s="28" t="s">
        <v>55</v>
      </c>
      <c r="F36" s="84">
        <v>0</v>
      </c>
      <c r="G36" s="85">
        <f>(F36*D36)+D36</f>
        <v>3</v>
      </c>
      <c r="H36" s="85">
        <v>4.4610000000000003</v>
      </c>
      <c r="I36" s="86">
        <v>42.56</v>
      </c>
      <c r="J36" s="85">
        <f>H36*G36</f>
        <v>13.383000000000001</v>
      </c>
      <c r="K36" s="86">
        <f>I36*J36</f>
        <v>569.58048000000008</v>
      </c>
      <c r="L36" s="86">
        <v>389.95</v>
      </c>
      <c r="M36" s="86">
        <f>L36*G36</f>
        <v>1169.8499999999999</v>
      </c>
      <c r="N36" s="86">
        <v>0</v>
      </c>
      <c r="O36" s="86">
        <f>N36*G36</f>
        <v>0</v>
      </c>
      <c r="P36" s="86">
        <f>IF(D36="","",(K36+M36+O36))</f>
        <v>1739.43048</v>
      </c>
      <c r="R36" s="51"/>
      <c r="S36" s="51"/>
    </row>
    <row r="37" spans="1:19" s="3" customFormat="1" ht="18" customHeight="1" x14ac:dyDescent="0.2">
      <c r="A37" s="117" t="str">
        <f>IF(E37=0,"",1+MAX(A34:A36))</f>
        <v/>
      </c>
      <c r="B37" s="118"/>
      <c r="C37" s="119"/>
      <c r="D37" s="120"/>
      <c r="E37" s="120"/>
      <c r="F37" s="120"/>
      <c r="G37" s="121"/>
      <c r="H37" s="120"/>
      <c r="I37" s="120"/>
      <c r="J37" s="120"/>
      <c r="K37" s="120"/>
      <c r="L37" s="120"/>
      <c r="M37" s="120"/>
      <c r="N37" s="120"/>
      <c r="O37" s="120" t="s">
        <v>24</v>
      </c>
      <c r="P37" s="122">
        <f>SUM(P22:P36)</f>
        <v>33238.094267760003</v>
      </c>
    </row>
    <row r="38" spans="1:19" ht="18" customHeight="1" x14ac:dyDescent="0.2">
      <c r="A38" s="140"/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69"/>
      <c r="O38" s="69"/>
      <c r="P38" s="26"/>
    </row>
    <row r="39" spans="1:19" s="92" customFormat="1" ht="20.100000000000001" customHeight="1" x14ac:dyDescent="0.2">
      <c r="A39" s="144" t="s">
        <v>12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15"/>
      <c r="P39" s="116">
        <f>SUM(P11:P38)/2</f>
        <v>37170.16081963601</v>
      </c>
    </row>
    <row r="40" spans="1:19" s="92" customFormat="1" ht="20.100000000000001" customHeight="1" x14ac:dyDescent="0.2">
      <c r="A40" s="144" t="s">
        <v>20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15">
        <v>0.2</v>
      </c>
      <c r="P40" s="116">
        <f>$P$39*O40</f>
        <v>7434.0321639272024</v>
      </c>
    </row>
    <row r="41" spans="1:19" s="92" customFormat="1" ht="20.100000000000001" customHeight="1" x14ac:dyDescent="0.2">
      <c r="A41" s="144" t="s">
        <v>5</v>
      </c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15">
        <v>0.03</v>
      </c>
      <c r="P41" s="116">
        <f>$P$39*O41</f>
        <v>1115.1048245890802</v>
      </c>
    </row>
    <row r="42" spans="1:19" s="92" customFormat="1" ht="20.100000000000001" customHeight="1" x14ac:dyDescent="0.2">
      <c r="A42" s="144" t="s">
        <v>18</v>
      </c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15">
        <v>0.05</v>
      </c>
      <c r="P42" s="116">
        <f>$P$39*O42</f>
        <v>1858.5080409818006</v>
      </c>
    </row>
    <row r="43" spans="1:19" s="3" customFormat="1" ht="20.100000000000001" customHeight="1" x14ac:dyDescent="0.2">
      <c r="A43" s="142" t="s">
        <v>13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23"/>
      <c r="O43" s="123"/>
      <c r="P43" s="124">
        <f>SUM(P39:P42)</f>
        <v>47577.805849134093</v>
      </c>
    </row>
    <row r="44" spans="1:19" ht="20.100000000000001" customHeight="1" x14ac:dyDescent="0.2">
      <c r="A44" s="67" t="s">
        <v>39</v>
      </c>
      <c r="B44" s="11"/>
      <c r="C44" s="30"/>
      <c r="D44" s="31"/>
      <c r="E44" s="30"/>
      <c r="F44" s="31"/>
      <c r="G44" s="48"/>
      <c r="H44" s="30"/>
      <c r="I44" s="30"/>
      <c r="J44" s="30"/>
      <c r="K44" s="30"/>
      <c r="L44" s="30"/>
      <c r="M44" s="30"/>
      <c r="N44" s="30"/>
      <c r="O44" s="30"/>
      <c r="P44" s="32"/>
    </row>
    <row r="45" spans="1:19" ht="30" customHeight="1" x14ac:dyDescent="0.2">
      <c r="A45" s="63"/>
      <c r="B45" s="136" t="s">
        <v>58</v>
      </c>
      <c r="C45" s="136"/>
      <c r="D45" s="136"/>
      <c r="E45" s="136"/>
      <c r="F45" s="136"/>
      <c r="G45" s="136"/>
      <c r="H45" s="136"/>
      <c r="I45" s="136"/>
      <c r="J45" s="136"/>
      <c r="K45" s="136"/>
      <c r="L45" s="136"/>
      <c r="M45" s="136"/>
      <c r="N45" s="136"/>
      <c r="O45" s="136"/>
      <c r="P45" s="52"/>
    </row>
    <row r="46" spans="1:19" ht="20.100000000000001" customHeight="1" x14ac:dyDescent="0.2">
      <c r="A46" s="63"/>
      <c r="B46" s="64"/>
      <c r="C46" s="65"/>
      <c r="D46" s="66"/>
      <c r="E46" s="30"/>
      <c r="F46" s="31"/>
      <c r="G46" s="48"/>
      <c r="H46" s="30"/>
      <c r="I46" s="30"/>
      <c r="J46" s="30"/>
      <c r="K46" s="30"/>
      <c r="L46" s="30"/>
      <c r="M46" s="30"/>
      <c r="N46" s="30"/>
      <c r="O46" s="30"/>
      <c r="P46" s="32"/>
    </row>
    <row r="47" spans="1:19" ht="20.100000000000001" customHeight="1" x14ac:dyDescent="0.2">
      <c r="A47" s="63"/>
      <c r="C47" s="70" t="s">
        <v>41</v>
      </c>
      <c r="D47" s="7"/>
      <c r="F47" s="30"/>
      <c r="G47" s="30"/>
      <c r="H47" s="30"/>
      <c r="M47" s="70" t="s">
        <v>42</v>
      </c>
      <c r="N47" s="31"/>
      <c r="O47" s="30"/>
      <c r="P47" s="32"/>
    </row>
    <row r="48" spans="1:19" ht="19.7" customHeight="1" x14ac:dyDescent="0.2">
      <c r="A48" s="71"/>
      <c r="B48" s="7">
        <v>1</v>
      </c>
      <c r="C48" s="72" t="s">
        <v>43</v>
      </c>
      <c r="D48" s="7"/>
      <c r="F48" s="30"/>
      <c r="G48" s="30"/>
      <c r="H48" s="30"/>
      <c r="M48" s="73" t="s">
        <v>51</v>
      </c>
      <c r="N48" s="31"/>
      <c r="O48" s="30"/>
      <c r="P48" s="52"/>
    </row>
    <row r="49" spans="1:16" ht="20.100000000000001" customHeight="1" x14ac:dyDescent="0.2">
      <c r="A49" s="63"/>
      <c r="C49" s="73"/>
      <c r="D49" s="73"/>
      <c r="F49" s="30"/>
      <c r="G49" s="30"/>
      <c r="H49" s="30"/>
      <c r="M49" s="73" t="s">
        <v>44</v>
      </c>
      <c r="N49" s="31"/>
      <c r="O49" s="30"/>
      <c r="P49" s="52"/>
    </row>
    <row r="50" spans="1:16" ht="20.100000000000001" customHeight="1" x14ac:dyDescent="0.2">
      <c r="A50" s="63"/>
      <c r="D50" s="66"/>
      <c r="F50" s="30"/>
      <c r="G50" s="30"/>
      <c r="H50" s="30"/>
      <c r="M50" s="73" t="s">
        <v>45</v>
      </c>
      <c r="N50" s="74"/>
      <c r="O50" s="30"/>
      <c r="P50" s="32"/>
    </row>
    <row r="51" spans="1:16" ht="20.100000000000001" customHeight="1" x14ac:dyDescent="0.2">
      <c r="A51" s="63"/>
      <c r="C51" s="75"/>
      <c r="D51" s="66"/>
      <c r="F51" s="30"/>
      <c r="G51" s="30"/>
      <c r="H51" s="30"/>
      <c r="M51" s="73" t="s">
        <v>46</v>
      </c>
      <c r="N51" s="14"/>
      <c r="O51" s="30"/>
      <c r="P51" s="32"/>
    </row>
    <row r="52" spans="1:16" ht="20.100000000000001" customHeight="1" x14ac:dyDescent="0.2">
      <c r="A52" s="63"/>
      <c r="D52" s="66"/>
      <c r="F52" s="30"/>
      <c r="G52" s="30"/>
      <c r="H52" s="30"/>
      <c r="M52" s="73" t="s">
        <v>47</v>
      </c>
      <c r="N52" s="14"/>
      <c r="O52" s="30"/>
      <c r="P52" s="52"/>
    </row>
    <row r="53" spans="1:16" ht="20.100000000000001" customHeight="1" x14ac:dyDescent="0.2">
      <c r="A53" s="63"/>
      <c r="C53" s="65"/>
      <c r="D53" s="66"/>
      <c r="J53" s="30"/>
      <c r="K53" s="30"/>
      <c r="L53" s="30"/>
      <c r="M53" s="73" t="s">
        <v>48</v>
      </c>
      <c r="N53" s="14"/>
      <c r="O53" s="30"/>
      <c r="P53" s="52"/>
    </row>
    <row r="54" spans="1:16" ht="20.100000000000001" customHeight="1" x14ac:dyDescent="0.2">
      <c r="A54" s="63"/>
      <c r="C54" s="65"/>
      <c r="D54" s="66"/>
      <c r="J54" s="30"/>
      <c r="K54" s="30"/>
      <c r="L54" s="30"/>
      <c r="M54" s="73" t="s">
        <v>49</v>
      </c>
      <c r="N54" s="14"/>
      <c r="O54" s="30"/>
      <c r="P54" s="32"/>
    </row>
    <row r="55" spans="1:16" ht="20.100000000000001" customHeight="1" x14ac:dyDescent="0.2">
      <c r="A55" s="63"/>
      <c r="C55" s="65"/>
      <c r="D55" s="66"/>
      <c r="J55" s="30"/>
      <c r="K55" s="30"/>
      <c r="L55" s="30"/>
      <c r="M55" s="73" t="s">
        <v>50</v>
      </c>
      <c r="N55" s="14"/>
      <c r="O55" s="30"/>
      <c r="P55" s="32"/>
    </row>
    <row r="56" spans="1:16" ht="15.75" customHeight="1" x14ac:dyDescent="0.2">
      <c r="A56" s="63"/>
      <c r="B56" s="64"/>
      <c r="C56" s="65"/>
      <c r="D56" s="66"/>
      <c r="E56" s="30"/>
      <c r="F56" s="31"/>
      <c r="G56" s="48"/>
      <c r="H56" s="30"/>
      <c r="I56" s="30"/>
      <c r="J56" s="30"/>
      <c r="K56" s="30"/>
      <c r="L56" s="30"/>
      <c r="M56" s="30"/>
      <c r="N56" s="30"/>
      <c r="O56" s="30"/>
      <c r="P56" s="52"/>
    </row>
    <row r="57" spans="1:16" ht="15.75" customHeight="1" thickBot="1" x14ac:dyDescent="0.25">
      <c r="A57" s="12"/>
      <c r="B57" s="13"/>
      <c r="C57" s="33"/>
      <c r="D57" s="34"/>
      <c r="E57" s="33"/>
      <c r="F57" s="34"/>
      <c r="G57" s="49"/>
      <c r="H57" s="33"/>
      <c r="I57" s="33"/>
      <c r="J57" s="33"/>
      <c r="K57" s="33"/>
      <c r="L57" s="33"/>
      <c r="M57" s="33"/>
      <c r="N57" s="33"/>
      <c r="O57" s="33"/>
      <c r="P57" s="35"/>
    </row>
  </sheetData>
  <mergeCells count="22">
    <mergeCell ref="K3:L3"/>
    <mergeCell ref="M3:N3"/>
    <mergeCell ref="M4:N4"/>
    <mergeCell ref="K4:L4"/>
    <mergeCell ref="K7:L7"/>
    <mergeCell ref="K6:L6"/>
    <mergeCell ref="K5:L5"/>
    <mergeCell ref="B45:O45"/>
    <mergeCell ref="K8:L8"/>
    <mergeCell ref="M5:N5"/>
    <mergeCell ref="M6:N6"/>
    <mergeCell ref="M8:N8"/>
    <mergeCell ref="M7:N7"/>
    <mergeCell ref="A38:M38"/>
    <mergeCell ref="A43:M43"/>
    <mergeCell ref="A39:N39"/>
    <mergeCell ref="A40:N40"/>
    <mergeCell ref="A41:N41"/>
    <mergeCell ref="A42:N42"/>
    <mergeCell ref="B11:O11"/>
    <mergeCell ref="B21:O21"/>
    <mergeCell ref="B23:B36"/>
  </mergeCells>
  <conditionalFormatting sqref="B7">
    <cfRule type="expression" dxfId="0" priority="2">
      <formula>ISBLANK(B7)</formula>
    </cfRule>
  </conditionalFormatting>
  <pageMargins left="0" right="0" top="1" bottom="0" header="0" footer="0"/>
  <pageSetup paperSize="9" scale="4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7F1CAE7-969A-4FB3-A559-A8EBBA21487D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SUMMARY</vt:lpstr>
      <vt:lpstr>MATERIAL TAKE-OFF</vt:lpstr>
      <vt:lpstr>'MATERIAL TAKE-OFF'!Print_Area</vt:lpstr>
      <vt:lpstr>'MATERIAL TAKE-OFF'!Print_Titles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Mfbzone</dc:creator>
  <cp:lastModifiedBy>Hp</cp:lastModifiedBy>
  <cp:lastPrinted>2025-12-11T20:02:09Z</cp:lastPrinted>
  <dcterms:created xsi:type="dcterms:W3CDTF">2016-03-30T11:57:46Z</dcterms:created>
  <dcterms:modified xsi:type="dcterms:W3CDTF">2025-12-23T14:53:40Z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{07F1CAE7-969A-4FB3-A559-A8EBBA21487D}</vt:lpwstr>
  </property>
</Properties>
</file>