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0" yWindow="0" windowWidth="16455" windowHeight="6450" activeTab="1"/>
  </bookViews>
  <sheets>
    <sheet name="SUMMARY" sheetId="3" r:id="rId1"/>
    <sheet name="BASE BID" sheetId="1" r:id="rId2"/>
    <sheet name="UNITS &amp; WASTAGE" sheetId="4" r:id="rId3"/>
  </sheets>
  <externalReferences>
    <externalReference r:id="rId4"/>
  </externalReferences>
  <definedNames>
    <definedName name="_xlnm._FilterDatabase" localSheetId="1" hidden="1">'BASE BID'!$A$10:$Q$41</definedName>
    <definedName name="_xlnm._FilterDatabase" localSheetId="2" hidden="1">'UNITS &amp; WASTAGE'!#REF!</definedName>
    <definedName name="_xlnm.Print_Area" localSheetId="1">'BASE BID'!$A$2:$P$61</definedName>
    <definedName name="_xlnm.Print_Area" localSheetId="0">SUMMARY!$A$1:$K$20</definedName>
    <definedName name="_xlnm.Print_Titles" localSheetId="1">'BASE BID'!$1:$10</definedName>
  </definedNames>
  <calcPr calcId="145621"/>
  <fileRecoveryPr autoRecover="0"/>
</workbook>
</file>

<file path=xl/calcChain.xml><?xml version="1.0" encoding="utf-8"?>
<calcChain xmlns="http://schemas.openxmlformats.org/spreadsheetml/2006/main">
  <c r="L37" i="1" l="1"/>
  <c r="L36" i="1"/>
  <c r="L35" i="1"/>
  <c r="L33" i="1"/>
  <c r="L32" i="1"/>
  <c r="L31" i="1"/>
  <c r="L30" i="1"/>
  <c r="L27" i="1"/>
  <c r="H33" i="1"/>
  <c r="H32" i="1"/>
  <c r="H31" i="1"/>
  <c r="H30" i="1"/>
  <c r="H28" i="1"/>
  <c r="L28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A27" i="1"/>
  <c r="A29" i="1"/>
  <c r="A34" i="1"/>
  <c r="A38" i="1"/>
  <c r="F33" i="1"/>
  <c r="G33" i="1" s="1"/>
  <c r="F32" i="1"/>
  <c r="G32" i="1" s="1"/>
  <c r="F31" i="1"/>
  <c r="G31" i="1" s="1"/>
  <c r="O31" i="1" s="1"/>
  <c r="F30" i="1"/>
  <c r="G30" i="1" s="1"/>
  <c r="O30" i="1" s="1"/>
  <c r="F28" i="1"/>
  <c r="G28" i="1" s="1"/>
  <c r="O28" i="1" s="1"/>
  <c r="F17" i="1"/>
  <c r="G17" i="1" s="1"/>
  <c r="F16" i="1"/>
  <c r="G16" i="1" s="1"/>
  <c r="F14" i="1"/>
  <c r="G14" i="1" s="1"/>
  <c r="F13" i="1"/>
  <c r="G13" i="1" s="1"/>
  <c r="A12" i="1"/>
  <c r="A14" i="1" s="1"/>
  <c r="A15" i="1" s="1"/>
  <c r="A16" i="1" l="1"/>
  <c r="A17" i="1" s="1"/>
  <c r="A18" i="1" s="1"/>
  <c r="A19" i="1" s="1"/>
  <c r="O32" i="1"/>
  <c r="J32" i="1"/>
  <c r="K32" i="1" s="1"/>
  <c r="O33" i="1"/>
  <c r="J33" i="1"/>
  <c r="K33" i="1" s="1"/>
  <c r="J30" i="1"/>
  <c r="K30" i="1" s="1"/>
  <c r="J28" i="1"/>
  <c r="K28" i="1" s="1"/>
  <c r="J31" i="1"/>
  <c r="K31" i="1" s="1"/>
  <c r="J16" i="1"/>
  <c r="K16" i="1" s="1"/>
  <c r="O16" i="1"/>
  <c r="M16" i="1"/>
  <c r="J13" i="1"/>
  <c r="K13" i="1" s="1"/>
  <c r="O13" i="1"/>
  <c r="M13" i="1"/>
  <c r="J17" i="1"/>
  <c r="K17" i="1" s="1"/>
  <c r="M17" i="1"/>
  <c r="O17" i="1"/>
  <c r="J14" i="1"/>
  <c r="K14" i="1" s="1"/>
  <c r="M14" i="1"/>
  <c r="O14" i="1"/>
  <c r="M28" i="1"/>
  <c r="M30" i="1"/>
  <c r="M31" i="1"/>
  <c r="M32" i="1"/>
  <c r="P32" i="1" s="1"/>
  <c r="M33" i="1"/>
  <c r="C12" i="4"/>
  <c r="C11" i="4"/>
  <c r="C10" i="4"/>
  <c r="C3" i="4"/>
  <c r="F37" i="1" l="1"/>
  <c r="G37" i="1" s="1"/>
  <c r="F36" i="1"/>
  <c r="G36" i="1" s="1"/>
  <c r="F39" i="1"/>
  <c r="G39" i="1" s="1"/>
  <c r="F40" i="1"/>
  <c r="G40" i="1" s="1"/>
  <c r="F35" i="1"/>
  <c r="G35" i="1" s="1"/>
  <c r="F25" i="1"/>
  <c r="G25" i="1" s="1"/>
  <c r="F21" i="1"/>
  <c r="G21" i="1" s="1"/>
  <c r="F23" i="1"/>
  <c r="G23" i="1" s="1"/>
  <c r="F19" i="1"/>
  <c r="G19" i="1" s="1"/>
  <c r="F18" i="1"/>
  <c r="G18" i="1" s="1"/>
  <c r="F24" i="1"/>
  <c r="G24" i="1" s="1"/>
  <c r="F20" i="1"/>
  <c r="G20" i="1" s="1"/>
  <c r="F15" i="1"/>
  <c r="G15" i="1" s="1"/>
  <c r="F26" i="1"/>
  <c r="G26" i="1" s="1"/>
  <c r="F22" i="1"/>
  <c r="G22" i="1" s="1"/>
  <c r="P30" i="1"/>
  <c r="P33" i="1"/>
  <c r="P31" i="1"/>
  <c r="A20" i="1"/>
  <c r="P14" i="1"/>
  <c r="P13" i="1"/>
  <c r="P28" i="1"/>
  <c r="P17" i="1"/>
  <c r="P16" i="1"/>
  <c r="O20" i="1" l="1"/>
  <c r="J20" i="1"/>
  <c r="K20" i="1" s="1"/>
  <c r="M20" i="1"/>
  <c r="J40" i="1"/>
  <c r="K40" i="1" s="1"/>
  <c r="P40" i="1" s="1"/>
  <c r="O40" i="1"/>
  <c r="M40" i="1"/>
  <c r="O22" i="1"/>
  <c r="J22" i="1"/>
  <c r="K22" i="1" s="1"/>
  <c r="P22" i="1" s="1"/>
  <c r="M22" i="1"/>
  <c r="O21" i="1"/>
  <c r="J21" i="1"/>
  <c r="K21" i="1" s="1"/>
  <c r="M21" i="1"/>
  <c r="M39" i="1"/>
  <c r="J39" i="1"/>
  <c r="K39" i="1" s="1"/>
  <c r="O39" i="1"/>
  <c r="J26" i="1"/>
  <c r="K26" i="1" s="1"/>
  <c r="P26" i="1" s="1"/>
  <c r="M26" i="1"/>
  <c r="O26" i="1"/>
  <c r="O18" i="1"/>
  <c r="J18" i="1"/>
  <c r="K18" i="1" s="1"/>
  <c r="P18" i="1" s="1"/>
  <c r="M18" i="1"/>
  <c r="M25" i="1"/>
  <c r="J25" i="1"/>
  <c r="K25" i="1" s="1"/>
  <c r="O25" i="1"/>
  <c r="O36" i="1"/>
  <c r="J36" i="1"/>
  <c r="K36" i="1" s="1"/>
  <c r="M36" i="1"/>
  <c r="J23" i="1"/>
  <c r="K23" i="1" s="1"/>
  <c r="P23" i="1" s="1"/>
  <c r="M23" i="1"/>
  <c r="O23" i="1"/>
  <c r="M24" i="1"/>
  <c r="O24" i="1"/>
  <c r="J24" i="1"/>
  <c r="K24" i="1" s="1"/>
  <c r="O15" i="1"/>
  <c r="J15" i="1"/>
  <c r="K15" i="1" s="1"/>
  <c r="M15" i="1"/>
  <c r="M19" i="1"/>
  <c r="O19" i="1"/>
  <c r="J19" i="1"/>
  <c r="K19" i="1" s="1"/>
  <c r="P19" i="1" s="1"/>
  <c r="O35" i="1"/>
  <c r="M35" i="1"/>
  <c r="J35" i="1"/>
  <c r="K35" i="1" s="1"/>
  <c r="O37" i="1"/>
  <c r="J37" i="1"/>
  <c r="K37" i="1" s="1"/>
  <c r="P37" i="1" s="1"/>
  <c r="M37" i="1"/>
  <c r="A21" i="1"/>
  <c r="A22" i="1" s="1"/>
  <c r="P15" i="1" l="1"/>
  <c r="P21" i="1"/>
  <c r="P35" i="1"/>
  <c r="P36" i="1"/>
  <c r="P39" i="1"/>
  <c r="P20" i="1"/>
  <c r="P25" i="1"/>
  <c r="P24" i="1"/>
  <c r="A23" i="1"/>
  <c r="A24" i="1" s="1"/>
  <c r="P41" i="1" l="1"/>
  <c r="A25" i="1"/>
  <c r="A26" i="1" s="1"/>
  <c r="A28" i="1" s="1"/>
  <c r="A30" i="1" s="1"/>
  <c r="A31" i="1" l="1"/>
  <c r="A32" i="1" l="1"/>
  <c r="A33" i="1" s="1"/>
  <c r="A35" i="1" s="1"/>
  <c r="A36" i="1" l="1"/>
  <c r="A37" i="1" s="1"/>
  <c r="A39" i="1" s="1"/>
  <c r="A40" i="1" s="1"/>
  <c r="A41" i="1" l="1"/>
  <c r="B3" i="1" l="1"/>
  <c r="C13" i="3" l="1"/>
  <c r="C14" i="3" s="1"/>
  <c r="P43" i="1" l="1"/>
  <c r="D13" i="3"/>
  <c r="D14" i="3" s="1"/>
  <c r="D17" i="3" l="1"/>
  <c r="D16" i="3"/>
  <c r="D18" i="3"/>
  <c r="P46" i="1"/>
  <c r="P44" i="1"/>
  <c r="P45" i="1"/>
  <c r="C17" i="3"/>
  <c r="C18" i="3"/>
  <c r="C16" i="3"/>
  <c r="C19" i="3" l="1"/>
  <c r="D19" i="3"/>
  <c r="P47" i="1"/>
</calcChain>
</file>

<file path=xl/sharedStrings.xml><?xml version="1.0" encoding="utf-8"?>
<sst xmlns="http://schemas.openxmlformats.org/spreadsheetml/2006/main" count="122" uniqueCount="92">
  <si>
    <t>DESCRIPTION</t>
  </si>
  <si>
    <t>QUANTITY</t>
  </si>
  <si>
    <t>UNIT</t>
  </si>
  <si>
    <t>INSURANCE</t>
  </si>
  <si>
    <t>LS</t>
  </si>
  <si>
    <t>SR #</t>
  </si>
  <si>
    <t>SUB COST</t>
  </si>
  <si>
    <t>PROJECTED COST</t>
  </si>
  <si>
    <t>SUGGESTED BID</t>
  </si>
  <si>
    <t>DIVISION NO.</t>
  </si>
  <si>
    <t>TOTAL DIV. COST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</si>
  <si>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</si>
  <si>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</si>
  <si>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</si>
  <si>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</si>
  <si>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</si>
  <si>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</si>
  <si>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</si>
  <si>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</si>
  <si>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</si>
  <si>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</si>
  <si>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</si>
  <si>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</si>
  <si>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</si>
  <si>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</si>
  <si>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</si>
  <si>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</si>
  <si>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</si>
  <si>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</si>
  <si>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</si>
  <si>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</si>
  <si>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</si>
  <si>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</si>
  <si>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</si>
  <si>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</si>
  <si>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</si>
  <si>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</si>
  <si>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</si>
  <si>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</si>
  <si>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</si>
  <si>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</si>
  <si>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</si>
  <si>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</si>
  <si>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</si>
  <si>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</si>
  <si>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</si>
  <si>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</si>
  <si>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</si>
  <si>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</si>
  <si>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CY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</si>
  <si>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</si>
  <si>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SHEETS</t>
  </si>
  <si>
    <t>ROLLS</t>
  </si>
  <si>
    <t>LBS</t>
  </si>
  <si>
    <t>Project Address:</t>
  </si>
  <si>
    <t>Unit</t>
  </si>
  <si>
    <t>Wastage</t>
  </si>
  <si>
    <t>SY</t>
  </si>
  <si>
    <t>TONS</t>
  </si>
  <si>
    <t>Date</t>
  </si>
  <si>
    <t>Daily Janitorial Services</t>
  </si>
  <si>
    <t xml:space="preserve">Wall Cleaning Interior Face </t>
  </si>
  <si>
    <t xml:space="preserve">Door Cleaning </t>
  </si>
  <si>
    <t xml:space="preserve">Bath Partitions Cleaning </t>
  </si>
  <si>
    <t xml:space="preserve">Urinal Screen Cleaning </t>
  </si>
  <si>
    <t xml:space="preserve">Cleaning &amp; Sanitizing Toilets </t>
  </si>
  <si>
    <t>Cleaning &amp; Sanitizing Urinals</t>
  </si>
  <si>
    <t>Cleaning &amp; Sanitizing Sinks</t>
  </si>
  <si>
    <t>Cleaning Mirrors</t>
  </si>
  <si>
    <t>Cleaning &amp; Sanitizing Drinking Fountain</t>
  </si>
  <si>
    <t xml:space="preserve">Emptying Trash Receptacle </t>
  </si>
  <si>
    <t>Weekly Services</t>
  </si>
  <si>
    <t>Deep Floor Cleaning (Scrubbing &amp; Washing)</t>
  </si>
  <si>
    <t>Wall Deep Cleaning</t>
  </si>
  <si>
    <t>Bath Partitions Deep Cleaning</t>
  </si>
  <si>
    <t>Monthly Services</t>
  </si>
  <si>
    <t>High Level Cleaning (Ceiling, Vent &amp; Lights)</t>
  </si>
  <si>
    <t>Pressure Washing (External Areas)</t>
  </si>
  <si>
    <t>Cleaning Chemicals &amp; Disinfectants For Daily, Weekly &amp; Monthly Services As Mentioned Above</t>
  </si>
  <si>
    <t>Urinal Screen( 2-Urinal Screens) &amp; Deordering Blocks</t>
  </si>
  <si>
    <t>Additional/ Contingency</t>
  </si>
  <si>
    <t>Minor Maintenance (Reporting + Small Fixes)</t>
  </si>
  <si>
    <t>Vandalism Cleanup / Emergency Cleaning</t>
  </si>
  <si>
    <t xml:space="preserve">Floor Cleaning </t>
  </si>
  <si>
    <t>JANITORIAL SERVICES</t>
  </si>
  <si>
    <t>Monthly Supplies &amp; Equipment's</t>
  </si>
  <si>
    <t>Cleaning Tools &amp; Equipment's (Mops, Brushes, PPE Etc.)
For Daily, Weekly &amp; Monthly Services As Mentioned Above</t>
  </si>
  <si>
    <r>
      <t xml:space="preserve">Toilet Paper Refill Management 
</t>
    </r>
    <r>
      <rPr>
        <b/>
        <sz val="11"/>
        <color rgb="FFFF0000"/>
        <rFont val="Arial"/>
        <family val="2"/>
      </rPr>
      <t>(Provided By City)</t>
    </r>
  </si>
  <si>
    <r>
      <t xml:space="preserve">Sanitary Liner Replacement 
</t>
    </r>
    <r>
      <rPr>
        <b/>
        <sz val="11"/>
        <color rgb="FFFF0000"/>
        <rFont val="Arial"/>
        <family val="2"/>
      </rPr>
      <t>(Provided By City)</t>
    </r>
  </si>
  <si>
    <r>
      <t xml:space="preserve">Soap Refill Management 
</t>
    </r>
    <r>
      <rPr>
        <b/>
        <sz val="11"/>
        <color rgb="FFFF0000"/>
        <rFont val="Arial"/>
        <family val="2"/>
      </rPr>
      <t>(Provided By City)</t>
    </r>
  </si>
  <si>
    <t>RED RUN PARK - RESTROOM</t>
  </si>
  <si>
    <t>Janitorial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</si>
</sst>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0"/>
    <numFmt numFmtId="170" formatCode="&quot;$&quot;#,##0.000"/>
  </numFmts>
  <fonts count="30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b/>
      <sz val="11"/>
      <color rgb="FFFF0000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u/>
      <sz val="12"/>
      <color theme="10"/>
      <name val="Arial"/>
      <family val="2"/>
    </font>
    <font>
      <b/>
      <sz val="11"/>
      <color indexed="63"/>
      <name val="Calibri"/>
      <family val="2"/>
    </font>
    <font>
      <b/>
      <sz val="16"/>
      <name val="Tw Cen MT"/>
      <family val="2"/>
      <scheme val="minor"/>
    </font>
    <font>
      <sz val="12"/>
      <name val="Tw Cen MT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22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7">
      <alignment horizontal="left" vertical="center" wrapText="1"/>
    </xf>
    <xf numFmtId="39" fontId="4" fillId="0" borderId="17">
      <alignment horizontal="left" vertical="center" wrapText="1"/>
    </xf>
    <xf numFmtId="0" fontId="4" fillId="0" borderId="0"/>
    <xf numFmtId="164" fontId="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11" borderId="29" applyNumberFormat="0" applyAlignment="0" applyProtection="0"/>
    <xf numFmtId="9" fontId="4" fillId="0" borderId="0" applyFont="0" applyFill="0" applyBorder="0" applyAlignment="0" applyProtection="0"/>
  </cellStyleXfs>
  <cellXfs count="141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right" vertical="center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2" fillId="0" borderId="9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9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6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39" fontId="9" fillId="7" borderId="1" xfId="4" applyFont="1" applyFill="1" applyBorder="1">
      <alignment horizontal="left" vertical="center" wrapText="1"/>
    </xf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39" fontId="13" fillId="0" borderId="1" xfId="4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2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vertical="center"/>
    </xf>
    <xf numFmtId="166" fontId="7" fillId="8" borderId="23" xfId="0" applyNumberFormat="1" applyFont="1" applyFill="1" applyBorder="1"/>
    <xf numFmtId="164" fontId="7" fillId="8" borderId="24" xfId="0" applyNumberFormat="1" applyFont="1" applyFill="1" applyBorder="1"/>
    <xf numFmtId="0" fontId="6" fillId="0" borderId="0" xfId="0" applyFont="1" applyAlignment="1">
      <alignment vertical="center"/>
    </xf>
    <xf numFmtId="0" fontId="12" fillId="9" borderId="6" xfId="0" applyFont="1" applyFill="1" applyBorder="1" applyAlignment="1">
      <alignment vertical="center"/>
    </xf>
    <xf numFmtId="0" fontId="10" fillId="9" borderId="21" xfId="0" applyFont="1" applyFill="1" applyBorder="1" applyAlignment="1">
      <alignment vertical="center"/>
    </xf>
    <xf numFmtId="0" fontId="10" fillId="9" borderId="10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2" xfId="0" applyNumberFormat="1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vertical="center"/>
    </xf>
    <xf numFmtId="0" fontId="9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left" vertical="center"/>
    </xf>
    <xf numFmtId="0" fontId="9" fillId="10" borderId="0" xfId="0" applyFont="1" applyFill="1" applyAlignment="1">
      <alignment vertical="center"/>
    </xf>
    <xf numFmtId="2" fontId="9" fillId="10" borderId="0" xfId="0" applyNumberFormat="1" applyFont="1" applyFill="1" applyAlignment="1">
      <alignment vertical="center"/>
    </xf>
    <xf numFmtId="168" fontId="9" fillId="10" borderId="9" xfId="0" applyNumberFormat="1" applyFont="1" applyFill="1" applyBorder="1" applyAlignment="1">
      <alignment vertical="center"/>
    </xf>
    <xf numFmtId="0" fontId="8" fillId="10" borderId="4" xfId="0" applyFont="1" applyFill="1" applyBorder="1" applyAlignment="1">
      <alignment horizontal="center" vertical="center"/>
    </xf>
    <xf numFmtId="165" fontId="8" fillId="10" borderId="11" xfId="0" applyNumberFormat="1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7" fillId="9" borderId="0" xfId="0" applyFont="1" applyFill="1"/>
    <xf numFmtId="166" fontId="9" fillId="10" borderId="20" xfId="2" applyNumberFormat="1" applyFont="1" applyFill="1" applyBorder="1" applyAlignment="1">
      <alignment vertical="center"/>
    </xf>
    <xf numFmtId="166" fontId="9" fillId="10" borderId="7" xfId="2" applyNumberFormat="1" applyFont="1" applyFill="1" applyBorder="1" applyAlignment="1">
      <alignment vertical="center"/>
    </xf>
    <xf numFmtId="0" fontId="10" fillId="9" borderId="6" xfId="0" applyFont="1" applyFill="1" applyBorder="1" applyAlignment="1">
      <alignment horizontal="center" vertical="center"/>
    </xf>
    <xf numFmtId="9" fontId="10" fillId="9" borderId="0" xfId="0" applyNumberFormat="1" applyFont="1" applyFill="1" applyAlignment="1">
      <alignment horizontal="center" vertical="center"/>
    </xf>
    <xf numFmtId="166" fontId="25" fillId="9" borderId="9" xfId="2" applyNumberFormat="1" applyFont="1" applyFill="1" applyBorder="1" applyAlignment="1">
      <alignment horizontal="center" vertical="center"/>
    </xf>
    <xf numFmtId="0" fontId="4" fillId="0" borderId="0" xfId="6"/>
    <xf numFmtId="0" fontId="29" fillId="0" borderId="1" xfId="6" applyFont="1" applyBorder="1" applyAlignment="1">
      <alignment horizontal="center" vertical="center"/>
    </xf>
    <xf numFmtId="9" fontId="29" fillId="0" borderId="1" xfId="10" applyFont="1" applyFill="1" applyBorder="1" applyAlignment="1">
      <alignment horizontal="center" vertical="center"/>
    </xf>
    <xf numFmtId="0" fontId="28" fillId="12" borderId="1" xfId="6" applyFont="1" applyFill="1" applyBorder="1" applyAlignment="1">
      <alignment horizontal="center" vertical="center"/>
    </xf>
    <xf numFmtId="169" fontId="7" fillId="2" borderId="2" xfId="0" applyNumberFormat="1" applyFont="1" applyFill="1" applyBorder="1" applyAlignment="1">
      <alignment horizontal="center" vertical="center" wrapText="1"/>
    </xf>
    <xf numFmtId="169" fontId="8" fillId="3" borderId="2" xfId="0" applyNumberFormat="1" applyFont="1" applyFill="1" applyBorder="1" applyAlignment="1">
      <alignment horizontal="left" vertical="center"/>
    </xf>
    <xf numFmtId="169" fontId="14" fillId="0" borderId="0" xfId="0" applyNumberFormat="1" applyFont="1" applyAlignment="1">
      <alignment horizontal="center" vertical="center"/>
    </xf>
    <xf numFmtId="169" fontId="15" fillId="0" borderId="0" xfId="0" applyNumberFormat="1" applyFont="1" applyAlignment="1">
      <alignment horizontal="center" vertical="center"/>
    </xf>
    <xf numFmtId="169" fontId="7" fillId="3" borderId="0" xfId="0" applyNumberFormat="1" applyFont="1" applyFill="1" applyAlignment="1">
      <alignment vertical="center"/>
    </xf>
    <xf numFmtId="169" fontId="10" fillId="9" borderId="1" xfId="3" applyNumberFormat="1" applyFont="1" applyFill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/>
    </xf>
    <xf numFmtId="169" fontId="9" fillId="10" borderId="0" xfId="0" applyNumberFormat="1" applyFont="1" applyFill="1" applyAlignment="1">
      <alignment vertical="center"/>
    </xf>
    <xf numFmtId="169" fontId="2" fillId="0" borderId="0" xfId="0" applyNumberFormat="1" applyFont="1" applyAlignment="1">
      <alignment horizontal="centerContinuous" vertical="center"/>
    </xf>
    <xf numFmtId="169" fontId="2" fillId="0" borderId="15" xfId="0" applyNumberFormat="1" applyFont="1" applyBorder="1" applyAlignment="1">
      <alignment horizontal="centerContinuous" vertical="center"/>
    </xf>
    <xf numFmtId="170" fontId="7" fillId="0" borderId="1" xfId="0" applyNumberFormat="1" applyFont="1" applyBorder="1" applyAlignment="1">
      <alignment horizontal="center" vertical="center"/>
    </xf>
    <xf numFmtId="164" fontId="25" fillId="9" borderId="9" xfId="2" applyNumberFormat="1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24" fillId="9" borderId="28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1">
    <cellStyle name="Accent1" xfId="3" builtinId="29"/>
    <cellStyle name="Currency 2" xfId="2"/>
    <cellStyle name="Currency 3" xfId="7"/>
    <cellStyle name="Hyperlink 2" xfId="8"/>
    <cellStyle name="Normal" xfId="0" builtinId="0"/>
    <cellStyle name="Normal 2" xfId="6"/>
    <cellStyle name="Output 2" xfId="9"/>
    <cellStyle name="Percent 2" xfId="10"/>
    <cellStyle name="Style 1" xfId="1"/>
    <cellStyle name="takeoffs body style" xfId="4"/>
    <cellStyle name="takeoffs body style 2" xfId="5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C6C00"/>
      <color rgb="FF3366CC"/>
      <color rgb="FF4F81BD"/>
      <color rgb="FF0000B3"/>
      <color rgb="FF00B300"/>
      <color rgb="FFEFF5F5"/>
      <color rgb="FF3399FF"/>
      <color rgb="FFA744B8"/>
      <color rgb="FF8533C9"/>
      <color rgb="FF007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>
        <c:manualLayout>
          <c:xMode val="edge"/>
          <c:yMode val="edge"/>
          <c:x val="0.33684762182675687"/>
          <c:y val="2.1769870470699167E-2"/>
        </c:manualLayout>
      </c:layout>
      <c:overlay val="0"/>
      <c:spPr>
        <a:solidFill>
          <a:schemeClr val="dk1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SUMMARY!$B$13:$B$13</c:f>
              <c:strCache>
                <c:ptCount val="1"/>
                <c:pt idx="0">
                  <c:v>Janitorial Services</c:v>
                </c:pt>
              </c:strCache>
            </c:strRef>
          </c:cat>
          <c:val>
            <c:numRef>
              <c:f>SUMMARY!$C$13:$C$13</c:f>
              <c:numCache>
                <c:formatCode>_("$"* #,##0_);_("$"* \(#,##0\);_("$"* "-"??_);_(@_)</c:formatCode>
                <c:ptCount val="1"/>
                <c:pt idx="0">
                  <c:v>430279.801354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3315968"/>
        <c:axId val="173317504"/>
        <c:axId val="0"/>
      </c:bar3DChart>
      <c:catAx>
        <c:axId val="17331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17504"/>
        <c:crosses val="autoZero"/>
        <c:auto val="1"/>
        <c:lblAlgn val="ctr"/>
        <c:lblOffset val="100"/>
        <c:noMultiLvlLbl val="0"/>
      </c:catAx>
      <c:valAx>
        <c:axId val="17331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315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1107842</xdr:colOff>
      <xdr:row>7</xdr:row>
      <xdr:rowOff>172251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27213</xdr:colOff>
      <xdr:row>0</xdr:row>
      <xdr:rowOff>0</xdr:rowOff>
    </xdr:from>
    <xdr:to>
      <xdr:col>10</xdr:col>
      <xdr:colOff>663039</xdr:colOff>
      <xdr:row>19</xdr:row>
      <xdr:rowOff>158338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1102182</xdr:colOff>
      <xdr:row>8</xdr:row>
      <xdr:rowOff>149693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KEOFF%20-%20SPENCER%203,4%20MAGNA%20UT%20SOUTH%20STAKE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SUMMARY"/>
      <sheetName val="BASE BID"/>
      <sheetName val="Alternate"/>
      <sheetName val="HOURLY RATES"/>
    </sheetNames>
    <sheetDataSet>
      <sheetData sheetId="0"/>
      <sheetData sheetId="1">
        <row r="11">
          <cell r="D11">
            <v>0</v>
          </cell>
        </row>
      </sheetData>
      <sheetData sheetId="2"/>
      <sheetData sheetId="3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3366CC"/>
    <pageSetUpPr fitToPage="1"/>
  </sheetPr>
  <dimension ref="A1:E19"/>
  <sheetViews>
    <sheetView view="pageBreakPreview" zoomScale="70" zoomScaleNormal="100" zoomScaleSheetLayoutView="70" workbookViewId="0">
      <selection activeCell="B10" sqref="B10"/>
    </sheetView>
  </sheetViews>
  <sheetFormatPr defaultColWidth="9" defaultRowHeight="14.25" x14ac:dyDescent="0.2"/>
  <cols>
    <col min="1" max="1" width="23.625" style="32" customWidth="1"/>
    <col min="2" max="2" width="44.875" style="32" customWidth="1"/>
    <col min="3" max="4" width="17.625" style="36" customWidth="1"/>
    <col min="5" max="16384" width="9" style="32"/>
  </cols>
  <sheetData>
    <row r="1" spans="1:5" ht="14.1" x14ac:dyDescent="0.35">
      <c r="A1" s="46"/>
      <c r="B1" s="37"/>
      <c r="C1" s="66"/>
      <c r="D1" s="47"/>
    </row>
    <row r="2" spans="1:5" ht="14.1" x14ac:dyDescent="0.35">
      <c r="A2" s="20" t="s">
        <v>32</v>
      </c>
      <c r="B2" s="50" t="s">
        <v>90</v>
      </c>
      <c r="C2" s="67"/>
      <c r="D2" s="10"/>
    </row>
    <row r="3" spans="1:5" ht="14.1" x14ac:dyDescent="0.35">
      <c r="A3" s="20"/>
      <c r="B3" s="19"/>
      <c r="C3" s="67"/>
      <c r="D3" s="10"/>
    </row>
    <row r="4" spans="1:5" ht="15" x14ac:dyDescent="0.2">
      <c r="A4" s="20" t="s">
        <v>54</v>
      </c>
      <c r="B4" s="19"/>
      <c r="C4" s="67"/>
      <c r="D4" s="10"/>
    </row>
    <row r="5" spans="1:5" ht="14.1" x14ac:dyDescent="0.35">
      <c r="A5" s="20"/>
      <c r="B5" s="19"/>
      <c r="C5" s="67"/>
      <c r="D5" s="10"/>
    </row>
    <row r="6" spans="1:5" ht="14.1" x14ac:dyDescent="0.35">
      <c r="A6" s="20" t="s">
        <v>23</v>
      </c>
      <c r="B6" s="19">
        <v>1</v>
      </c>
      <c r="C6" s="67"/>
      <c r="D6" s="10"/>
    </row>
    <row r="7" spans="1:5" ht="14.1" x14ac:dyDescent="0.35">
      <c r="A7" s="20"/>
      <c r="B7" s="69"/>
      <c r="C7" s="67"/>
      <c r="D7" s="10"/>
    </row>
    <row r="8" spans="1:5" ht="14.1" x14ac:dyDescent="0.35">
      <c r="A8" s="20" t="s">
        <v>45</v>
      </c>
      <c r="B8" s="19"/>
      <c r="C8" s="67"/>
      <c r="D8" s="10"/>
    </row>
    <row r="9" spans="1:5" ht="14.1" x14ac:dyDescent="0.35">
      <c r="A9" s="20"/>
      <c r="B9" s="69"/>
      <c r="C9" s="67"/>
      <c r="D9" s="10"/>
    </row>
    <row r="10" spans="1:5" ht="14.1" x14ac:dyDescent="0.35">
      <c r="A10" s="20" t="s">
        <v>59</v>
      </c>
      <c r="B10" s="19"/>
      <c r="C10" s="67"/>
      <c r="D10" s="10"/>
    </row>
    <row r="11" spans="1:5" ht="14.65" thickBot="1" x14ac:dyDescent="0.4">
      <c r="A11" s="20"/>
      <c r="B11" s="48"/>
      <c r="C11" s="68"/>
      <c r="D11" s="49"/>
    </row>
    <row r="12" spans="1:5" s="33" customFormat="1" ht="28.7" thickBot="1" x14ac:dyDescent="0.4">
      <c r="A12" s="99" t="s">
        <v>9</v>
      </c>
      <c r="B12" s="100" t="s">
        <v>0</v>
      </c>
      <c r="C12" s="100" t="s">
        <v>10</v>
      </c>
      <c r="D12" s="101" t="s">
        <v>46</v>
      </c>
      <c r="E12" s="102"/>
    </row>
    <row r="13" spans="1:5" ht="14.1" x14ac:dyDescent="0.35">
      <c r="A13" s="75">
        <v>1000</v>
      </c>
      <c r="B13" s="76" t="s">
        <v>91</v>
      </c>
      <c r="C13" s="77">
        <f>'BASE BID'!P41</f>
        <v>430279.801354</v>
      </c>
      <c r="D13" s="78" t="e">
        <f>C13/$B$10</f>
        <v>#DIV/0!</v>
      </c>
    </row>
    <row r="14" spans="1:5" s="34" customFormat="1" ht="14.65" thickBot="1" x14ac:dyDescent="0.4">
      <c r="A14" s="124" t="s">
        <v>7</v>
      </c>
      <c r="B14" s="124"/>
      <c r="C14" s="103">
        <f>SUM(C13:C13)</f>
        <v>430279.801354</v>
      </c>
      <c r="D14" s="103" t="e">
        <f>SUM(D13:D13)</f>
        <v>#DIV/0!</v>
      </c>
    </row>
    <row r="15" spans="1:5" ht="14.65" thickBot="1" x14ac:dyDescent="0.4">
      <c r="A15" s="125"/>
      <c r="B15" s="125"/>
      <c r="C15" s="125"/>
      <c r="D15" s="125"/>
    </row>
    <row r="16" spans="1:5" s="35" customFormat="1" ht="14.1" x14ac:dyDescent="0.35">
      <c r="A16" s="105" t="s">
        <v>13</v>
      </c>
      <c r="B16" s="106">
        <v>0.2</v>
      </c>
      <c r="C16" s="107">
        <f>$C$14*B16</f>
        <v>86055.960270800002</v>
      </c>
      <c r="D16" s="107" t="e">
        <f>$D$14*B16</f>
        <v>#DIV/0!</v>
      </c>
    </row>
    <row r="17" spans="1:4" s="35" customFormat="1" ht="14.1" x14ac:dyDescent="0.35">
      <c r="A17" s="105" t="s">
        <v>3</v>
      </c>
      <c r="B17" s="106">
        <v>0.03</v>
      </c>
      <c r="C17" s="107">
        <f>$C$14*B17</f>
        <v>12908.39404062</v>
      </c>
      <c r="D17" s="123" t="e">
        <f>$D$14*B17</f>
        <v>#DIV/0!</v>
      </c>
    </row>
    <row r="18" spans="1:4" s="35" customFormat="1" ht="14.65" thickBot="1" x14ac:dyDescent="0.4">
      <c r="A18" s="105" t="s">
        <v>11</v>
      </c>
      <c r="B18" s="106">
        <v>0.05</v>
      </c>
      <c r="C18" s="107">
        <f>$C$14*B18</f>
        <v>21513.990067700001</v>
      </c>
      <c r="D18" s="123" t="e">
        <f>$D$14*B18</f>
        <v>#DIV/0!</v>
      </c>
    </row>
    <row r="19" spans="1:4" s="33" customFormat="1" ht="14.65" thickBot="1" x14ac:dyDescent="0.4">
      <c r="A19" s="126" t="s">
        <v>22</v>
      </c>
      <c r="B19" s="127"/>
      <c r="C19" s="104">
        <f>SUM(C14:C18)</f>
        <v>550758.14573312004</v>
      </c>
      <c r="D19" s="104" t="e">
        <f>SUM(D14:D18)</f>
        <v>#DIV/0!</v>
      </c>
    </row>
  </sheetData>
  <mergeCells count="3">
    <mergeCell ref="A14:B14"/>
    <mergeCell ref="A15:D15"/>
    <mergeCell ref="A19:B19"/>
  </mergeCells>
  <conditionalFormatting sqref="B2">
    <cfRule type="expression" dxfId="5" priority="5">
      <formula>ISBLANK(B2)</formula>
    </cfRule>
  </conditionalFormatting>
  <conditionalFormatting sqref="B6">
    <cfRule type="expression" dxfId="3" priority="3">
      <formula>ISBLANK(B6)</formula>
    </cfRule>
  </conditionalFormatting>
  <pageMargins left="0" right="0" top="1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70C0"/>
    <pageSetUpPr fitToPage="1"/>
  </sheetPr>
  <dimension ref="A1:P61"/>
  <sheetViews>
    <sheetView showGridLines="0" tabSelected="1" topLeftCell="A2" zoomScale="55" zoomScaleNormal="55" zoomScaleSheetLayoutView="55" workbookViewId="0">
      <selection activeCell="E7" sqref="E7"/>
    </sheetView>
  </sheetViews>
  <sheetFormatPr defaultColWidth="9" defaultRowHeight="14.25" x14ac:dyDescent="0.2"/>
  <cols>
    <col min="1" max="1" width="8.625" style="7" customWidth="1"/>
    <col min="2" max="2" width="13.5" style="7" customWidth="1"/>
    <col min="3" max="3" width="50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43" customWidth="1"/>
    <col min="8" max="8" width="10.625" style="116" customWidth="1"/>
    <col min="9" max="10" width="10.625" style="7" customWidth="1"/>
    <col min="11" max="11" width="14" style="7" bestFit="1" customWidth="1"/>
    <col min="12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3" style="7" bestFit="1" customWidth="1"/>
    <col min="18" max="16384" width="9" style="7"/>
  </cols>
  <sheetData>
    <row r="1" spans="1:16" s="3" customFormat="1" ht="15" hidden="1" customHeight="1" x14ac:dyDescent="0.35">
      <c r="A1" s="15"/>
      <c r="B1" s="16"/>
      <c r="C1" s="16"/>
      <c r="D1" s="16"/>
      <c r="E1" s="16"/>
      <c r="F1" s="16"/>
      <c r="G1" s="38"/>
      <c r="H1" s="112"/>
      <c r="I1" s="16"/>
      <c r="J1" s="16"/>
      <c r="K1" s="16"/>
      <c r="L1" s="16"/>
      <c r="M1" s="16"/>
      <c r="N1" s="16"/>
      <c r="O1" s="16"/>
      <c r="P1" s="16"/>
    </row>
    <row r="2" spans="1:16" ht="15" customHeight="1" x14ac:dyDescent="0.35">
      <c r="A2" s="1"/>
      <c r="B2" s="2"/>
      <c r="C2" s="17"/>
      <c r="D2" s="4"/>
      <c r="E2" s="17"/>
      <c r="F2" s="4"/>
      <c r="G2" s="39"/>
      <c r="H2" s="113"/>
      <c r="I2" s="5"/>
      <c r="J2" s="5"/>
      <c r="K2" s="5"/>
      <c r="L2" s="5"/>
      <c r="M2" s="5"/>
      <c r="N2" s="5"/>
      <c r="O2" s="5"/>
      <c r="P2" s="6"/>
    </row>
    <row r="3" spans="1:16" ht="15" customHeight="1" x14ac:dyDescent="0.35">
      <c r="A3" s="18" t="s">
        <v>19</v>
      </c>
      <c r="B3" s="19" t="str">
        <f>SUMMARY!B2</f>
        <v>RED RUN PARK - RESTROOM</v>
      </c>
      <c r="C3" s="3"/>
      <c r="D3" s="8"/>
      <c r="E3" s="3"/>
      <c r="F3" s="8"/>
      <c r="G3" s="52"/>
      <c r="H3" s="114"/>
      <c r="K3" s="140"/>
      <c r="L3" s="140"/>
      <c r="M3" s="140"/>
      <c r="N3" s="140"/>
      <c r="P3" s="9"/>
    </row>
    <row r="4" spans="1:16" ht="18.600000000000001" customHeight="1" x14ac:dyDescent="0.35">
      <c r="A4" s="18"/>
      <c r="B4" s="19"/>
      <c r="C4" s="3"/>
      <c r="D4" s="8"/>
      <c r="E4" s="3"/>
      <c r="F4" s="8"/>
      <c r="G4" s="51"/>
      <c r="H4" s="115"/>
      <c r="K4" s="129"/>
      <c r="L4" s="129"/>
      <c r="M4" s="131"/>
      <c r="N4" s="129"/>
      <c r="P4" s="9"/>
    </row>
    <row r="5" spans="1:16" ht="15" customHeight="1" x14ac:dyDescent="0.35">
      <c r="A5" s="18" t="s">
        <v>24</v>
      </c>
      <c r="B5" s="19"/>
      <c r="C5" s="3"/>
      <c r="D5" s="8"/>
      <c r="E5" s="3"/>
      <c r="F5" s="8"/>
      <c r="G5" s="51"/>
      <c r="H5" s="115"/>
      <c r="K5" s="129"/>
      <c r="L5" s="129"/>
      <c r="M5" s="130"/>
      <c r="N5" s="129"/>
      <c r="P5" s="9"/>
    </row>
    <row r="6" spans="1:16" ht="15" customHeight="1" x14ac:dyDescent="0.35">
      <c r="A6" s="18"/>
      <c r="B6" s="19"/>
      <c r="C6" s="3"/>
      <c r="D6" s="8"/>
      <c r="E6" s="3"/>
      <c r="F6" s="8"/>
      <c r="G6" s="51"/>
      <c r="H6" s="115"/>
      <c r="K6" s="129"/>
      <c r="L6" s="129"/>
      <c r="M6" s="130"/>
      <c r="N6" s="129"/>
      <c r="P6" s="9"/>
    </row>
    <row r="7" spans="1:16" ht="15" customHeight="1" x14ac:dyDescent="0.35">
      <c r="A7" s="18" t="s">
        <v>14</v>
      </c>
      <c r="B7" s="21" t="s">
        <v>84</v>
      </c>
      <c r="C7" s="3"/>
      <c r="D7" s="8"/>
      <c r="E7" s="3"/>
      <c r="F7" s="8"/>
      <c r="G7" s="40"/>
      <c r="K7" s="129"/>
      <c r="L7" s="129"/>
      <c r="M7" s="130"/>
      <c r="N7" s="129"/>
      <c r="P7" s="9"/>
    </row>
    <row r="8" spans="1:16" ht="15" customHeight="1" x14ac:dyDescent="0.35">
      <c r="A8" s="18"/>
      <c r="B8" s="19"/>
      <c r="C8" s="3"/>
      <c r="D8" s="8"/>
      <c r="E8" s="3"/>
      <c r="F8" s="8"/>
      <c r="G8" s="40"/>
      <c r="K8" s="129"/>
      <c r="L8" s="129"/>
      <c r="M8" s="131"/>
      <c r="N8" s="129"/>
      <c r="P8" s="9"/>
    </row>
    <row r="9" spans="1:16" ht="15" customHeight="1" x14ac:dyDescent="0.2">
      <c r="A9" s="18" t="s">
        <v>12</v>
      </c>
      <c r="B9" s="3"/>
      <c r="C9" s="3"/>
      <c r="D9" s="8"/>
      <c r="E9" s="3"/>
      <c r="F9" s="8"/>
      <c r="G9" s="40"/>
      <c r="P9" s="9"/>
    </row>
    <row r="10" spans="1:16" s="3" customFormat="1" ht="61.35" customHeight="1" x14ac:dyDescent="0.35">
      <c r="A10" s="82" t="s">
        <v>5</v>
      </c>
      <c r="B10" s="83" t="s">
        <v>18</v>
      </c>
      <c r="C10" s="84" t="s">
        <v>0</v>
      </c>
      <c r="D10" s="85" t="s">
        <v>1</v>
      </c>
      <c r="E10" s="84" t="s">
        <v>2</v>
      </c>
      <c r="F10" s="85" t="s">
        <v>15</v>
      </c>
      <c r="G10" s="86" t="s">
        <v>16</v>
      </c>
      <c r="H10" s="117" t="s">
        <v>27</v>
      </c>
      <c r="I10" s="83" t="s">
        <v>25</v>
      </c>
      <c r="J10" s="87" t="s">
        <v>28</v>
      </c>
      <c r="K10" s="83" t="s">
        <v>26</v>
      </c>
      <c r="L10" s="83" t="s">
        <v>20</v>
      </c>
      <c r="M10" s="83" t="s">
        <v>29</v>
      </c>
      <c r="N10" s="83" t="s">
        <v>21</v>
      </c>
      <c r="O10" s="83" t="s">
        <v>30</v>
      </c>
      <c r="P10" s="88" t="s">
        <v>6</v>
      </c>
    </row>
    <row r="11" spans="1:16" s="3" customFormat="1" ht="18" customHeight="1" x14ac:dyDescent="0.35">
      <c r="A11" s="80"/>
      <c r="B11" s="139" t="s">
        <v>84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81"/>
    </row>
    <row r="12" spans="1:16" s="3" customFormat="1" ht="14.1" x14ac:dyDescent="0.35">
      <c r="A12" s="70" t="str">
        <f>IF(E12=0,"",1+MAX(A10:A11))</f>
        <v/>
      </c>
      <c r="B12" s="25"/>
      <c r="C12" s="65" t="s">
        <v>60</v>
      </c>
      <c r="D12" s="24"/>
      <c r="E12" s="24"/>
      <c r="F12" s="72"/>
      <c r="G12" s="73"/>
      <c r="H12" s="118"/>
      <c r="I12" s="74"/>
      <c r="J12" s="73"/>
      <c r="K12" s="74"/>
      <c r="L12" s="74"/>
      <c r="M12" s="74"/>
      <c r="N12" s="74"/>
      <c r="O12" s="74"/>
      <c r="P12" s="74"/>
    </row>
    <row r="13" spans="1:16" ht="14.1" x14ac:dyDescent="0.35">
      <c r="A13" s="70">
        <v>1</v>
      </c>
      <c r="B13" s="71"/>
      <c r="C13" s="45" t="s">
        <v>83</v>
      </c>
      <c r="D13" s="24">
        <v>2615</v>
      </c>
      <c r="E13" s="22" t="s">
        <v>44</v>
      </c>
      <c r="F13" s="72">
        <f>IF(VLOOKUP(E13,'UNITS &amp; WASTAGE'!B$3:C$16,2,0)=0,$F$2,VLOOKUP(E13,'UNITS &amp; WASTAGE'!B$3:C$16,2,0))</f>
        <v>0.1</v>
      </c>
      <c r="G13" s="73">
        <f t="shared" ref="G13:G26" si="0">(F13*D13)+D13</f>
        <v>2876.5</v>
      </c>
      <c r="H13" s="118">
        <f>0.0018*(730)</f>
        <v>1.3140000000000001</v>
      </c>
      <c r="I13" s="74">
        <v>34.15</v>
      </c>
      <c r="J13" s="73">
        <f t="shared" ref="J13:J26" si="1">H13*G13</f>
        <v>3779.721</v>
      </c>
      <c r="K13" s="74">
        <f t="shared" ref="K13:K26" si="2">I13*J13</f>
        <v>129077.47215</v>
      </c>
      <c r="L13" s="122">
        <f>0.01*(730)</f>
        <v>7.3</v>
      </c>
      <c r="M13" s="74">
        <f t="shared" ref="M13:M26" si="3">L13*G13</f>
        <v>20998.45</v>
      </c>
      <c r="N13" s="74">
        <v>0</v>
      </c>
      <c r="O13" s="74">
        <f t="shared" ref="O13:O26" si="4">N13*G13</f>
        <v>0</v>
      </c>
      <c r="P13" s="74">
        <f t="shared" ref="P13:P26" si="5">IF(D13="","",(K13+M13+O13))</f>
        <v>150075.92215</v>
      </c>
    </row>
    <row r="14" spans="1:16" ht="14.1" x14ac:dyDescent="0.35">
      <c r="A14" s="70">
        <f>IF(E14=0,"",1+MAX(A12:A13))</f>
        <v>2</v>
      </c>
      <c r="B14" s="71"/>
      <c r="C14" s="45" t="s">
        <v>61</v>
      </c>
      <c r="D14" s="24">
        <v>2048</v>
      </c>
      <c r="E14" s="22" t="s">
        <v>44</v>
      </c>
      <c r="F14" s="72">
        <f>IF(VLOOKUP(E14,'UNITS &amp; WASTAGE'!B$3:C$16,2,0)=0,$F$2,VLOOKUP(E14,'UNITS &amp; WASTAGE'!B$3:C$16,2,0))</f>
        <v>0.1</v>
      </c>
      <c r="G14" s="73">
        <f t="shared" si="0"/>
        <v>2252.8000000000002</v>
      </c>
      <c r="H14" s="118">
        <f>0.0012*(730)</f>
        <v>0.87599999999999989</v>
      </c>
      <c r="I14" s="74">
        <v>34.15</v>
      </c>
      <c r="J14" s="73">
        <f t="shared" si="1"/>
        <v>1973.4528</v>
      </c>
      <c r="K14" s="74">
        <f t="shared" si="2"/>
        <v>67393.413119999997</v>
      </c>
      <c r="L14" s="122">
        <f>0.008*(730)</f>
        <v>5.84</v>
      </c>
      <c r="M14" s="74">
        <f t="shared" si="3"/>
        <v>13156.352000000001</v>
      </c>
      <c r="N14" s="74">
        <v>0</v>
      </c>
      <c r="O14" s="74">
        <f t="shared" si="4"/>
        <v>0</v>
      </c>
      <c r="P14" s="74">
        <f t="shared" si="5"/>
        <v>80549.765119999996</v>
      </c>
    </row>
    <row r="15" spans="1:16" ht="14.1" x14ac:dyDescent="0.35">
      <c r="A15" s="70">
        <f t="shared" ref="A15:A40" si="6">IF(E15=0,"",1+MAX(A13:A14))</f>
        <v>3</v>
      </c>
      <c r="B15" s="71"/>
      <c r="C15" s="45" t="s">
        <v>62</v>
      </c>
      <c r="D15" s="24">
        <v>4</v>
      </c>
      <c r="E15" s="22" t="s">
        <v>47</v>
      </c>
      <c r="F15" s="72">
        <f>IF(VLOOKUP(E15,'UNITS &amp; WASTAGE'!B$3:C$16,2,0)=0,$F$2,VLOOKUP(E15,'UNITS &amp; WASTAGE'!B$3:C$16,2,0))</f>
        <v>0</v>
      </c>
      <c r="G15" s="73">
        <f t="shared" si="0"/>
        <v>4</v>
      </c>
      <c r="H15" s="118">
        <f>0.12*(730)</f>
        <v>87.6</v>
      </c>
      <c r="I15" s="74">
        <v>34.15</v>
      </c>
      <c r="J15" s="73">
        <f t="shared" si="1"/>
        <v>350.4</v>
      </c>
      <c r="K15" s="74">
        <f t="shared" si="2"/>
        <v>11966.159999999998</v>
      </c>
      <c r="L15" s="122">
        <f>0.08*(730)</f>
        <v>58.4</v>
      </c>
      <c r="M15" s="74">
        <f t="shared" si="3"/>
        <v>233.6</v>
      </c>
      <c r="N15" s="74">
        <v>0</v>
      </c>
      <c r="O15" s="74">
        <f t="shared" si="4"/>
        <v>0</v>
      </c>
      <c r="P15" s="74">
        <f t="shared" si="5"/>
        <v>12199.759999999998</v>
      </c>
    </row>
    <row r="16" spans="1:16" ht="14.1" x14ac:dyDescent="0.35">
      <c r="A16" s="70">
        <f t="shared" si="6"/>
        <v>4</v>
      </c>
      <c r="B16" s="71"/>
      <c r="C16" s="45" t="s">
        <v>63</v>
      </c>
      <c r="D16" s="24">
        <v>600</v>
      </c>
      <c r="E16" s="22" t="s">
        <v>44</v>
      </c>
      <c r="F16" s="72">
        <f>IF(VLOOKUP(E16,'UNITS &amp; WASTAGE'!B$3:C$16,2,0)=0,$F$2,VLOOKUP(E16,'UNITS &amp; WASTAGE'!B$3:C$16,2,0))</f>
        <v>0.1</v>
      </c>
      <c r="G16" s="73">
        <f t="shared" si="0"/>
        <v>660</v>
      </c>
      <c r="H16" s="118">
        <f>0.0015*(730)</f>
        <v>1.095</v>
      </c>
      <c r="I16" s="74">
        <v>34.15</v>
      </c>
      <c r="J16" s="73">
        <f t="shared" si="1"/>
        <v>722.69999999999993</v>
      </c>
      <c r="K16" s="74">
        <f t="shared" si="2"/>
        <v>24680.204999999998</v>
      </c>
      <c r="L16" s="122">
        <f>0.01*(730)</f>
        <v>7.3</v>
      </c>
      <c r="M16" s="74">
        <f t="shared" si="3"/>
        <v>4818</v>
      </c>
      <c r="N16" s="74">
        <v>0</v>
      </c>
      <c r="O16" s="74">
        <f t="shared" si="4"/>
        <v>0</v>
      </c>
      <c r="P16" s="74">
        <f t="shared" si="5"/>
        <v>29498.204999999998</v>
      </c>
    </row>
    <row r="17" spans="1:16" ht="14.1" x14ac:dyDescent="0.35">
      <c r="A17" s="70">
        <f t="shared" si="6"/>
        <v>5</v>
      </c>
      <c r="B17" s="71"/>
      <c r="C17" s="45" t="s">
        <v>64</v>
      </c>
      <c r="D17" s="24">
        <v>30</v>
      </c>
      <c r="E17" s="22" t="s">
        <v>44</v>
      </c>
      <c r="F17" s="72">
        <f>IF(VLOOKUP(E17,'UNITS &amp; WASTAGE'!B$3:C$16,2,0)=0,$F$2,VLOOKUP(E17,'UNITS &amp; WASTAGE'!B$3:C$16,2,0))</f>
        <v>0.1</v>
      </c>
      <c r="G17" s="73">
        <f t="shared" si="0"/>
        <v>33</v>
      </c>
      <c r="H17" s="118">
        <f>0.0015*(730)</f>
        <v>1.095</v>
      </c>
      <c r="I17" s="74">
        <v>34.15</v>
      </c>
      <c r="J17" s="73">
        <f t="shared" si="1"/>
        <v>36.134999999999998</v>
      </c>
      <c r="K17" s="74">
        <f t="shared" si="2"/>
        <v>1234.0102499999998</v>
      </c>
      <c r="L17" s="122">
        <f>0.01*(730)</f>
        <v>7.3</v>
      </c>
      <c r="M17" s="74">
        <f t="shared" si="3"/>
        <v>240.9</v>
      </c>
      <c r="N17" s="74">
        <v>0</v>
      </c>
      <c r="O17" s="74">
        <f t="shared" si="4"/>
        <v>0</v>
      </c>
      <c r="P17" s="74">
        <f t="shared" si="5"/>
        <v>1474.9102499999999</v>
      </c>
    </row>
    <row r="18" spans="1:16" ht="14.1" x14ac:dyDescent="0.35">
      <c r="A18" s="70">
        <f t="shared" si="6"/>
        <v>6</v>
      </c>
      <c r="B18" s="71"/>
      <c r="C18" s="45" t="s">
        <v>65</v>
      </c>
      <c r="D18" s="24">
        <v>7</v>
      </c>
      <c r="E18" s="22" t="s">
        <v>47</v>
      </c>
      <c r="F18" s="72">
        <f>IF(VLOOKUP(E18,'UNITS &amp; WASTAGE'!B$3:C$16,2,0)=0,$F$2,VLOOKUP(E18,'UNITS &amp; WASTAGE'!B$3:C$16,2,0))</f>
        <v>0</v>
      </c>
      <c r="G18" s="73">
        <f t="shared" si="0"/>
        <v>7</v>
      </c>
      <c r="H18" s="118">
        <f>0.2*(730)</f>
        <v>146</v>
      </c>
      <c r="I18" s="74">
        <v>34.15</v>
      </c>
      <c r="J18" s="73">
        <f t="shared" si="1"/>
        <v>1022</v>
      </c>
      <c r="K18" s="74">
        <f t="shared" si="2"/>
        <v>34901.299999999996</v>
      </c>
      <c r="L18" s="122">
        <f>0.1*(730)</f>
        <v>73</v>
      </c>
      <c r="M18" s="74">
        <f t="shared" si="3"/>
        <v>511</v>
      </c>
      <c r="N18" s="74">
        <v>0</v>
      </c>
      <c r="O18" s="74">
        <f t="shared" si="4"/>
        <v>0</v>
      </c>
      <c r="P18" s="74">
        <f t="shared" si="5"/>
        <v>35412.299999999996</v>
      </c>
    </row>
    <row r="19" spans="1:16" ht="14.1" x14ac:dyDescent="0.35">
      <c r="A19" s="70">
        <f t="shared" si="6"/>
        <v>7</v>
      </c>
      <c r="B19" s="71"/>
      <c r="C19" s="45" t="s">
        <v>66</v>
      </c>
      <c r="D19" s="24">
        <v>2</v>
      </c>
      <c r="E19" s="22" t="s">
        <v>47</v>
      </c>
      <c r="F19" s="72">
        <f>IF(VLOOKUP(E19,'UNITS &amp; WASTAGE'!B$3:C$16,2,0)=0,$F$2,VLOOKUP(E19,'UNITS &amp; WASTAGE'!B$3:C$16,2,0))</f>
        <v>0</v>
      </c>
      <c r="G19" s="73">
        <f t="shared" si="0"/>
        <v>2</v>
      </c>
      <c r="H19" s="118">
        <f>0.18*(730)</f>
        <v>131.4</v>
      </c>
      <c r="I19" s="74">
        <v>34.15</v>
      </c>
      <c r="J19" s="73">
        <f t="shared" si="1"/>
        <v>262.8</v>
      </c>
      <c r="K19" s="74">
        <f t="shared" si="2"/>
        <v>8974.6200000000008</v>
      </c>
      <c r="L19" s="122">
        <f>0.1*(730)</f>
        <v>73</v>
      </c>
      <c r="M19" s="74">
        <f t="shared" si="3"/>
        <v>146</v>
      </c>
      <c r="N19" s="74">
        <v>0</v>
      </c>
      <c r="O19" s="74">
        <f t="shared" si="4"/>
        <v>0</v>
      </c>
      <c r="P19" s="74">
        <f t="shared" si="5"/>
        <v>9120.6200000000008</v>
      </c>
    </row>
    <row r="20" spans="1:16" ht="14.1" x14ac:dyDescent="0.35">
      <c r="A20" s="70">
        <f t="shared" si="6"/>
        <v>8</v>
      </c>
      <c r="B20" s="71"/>
      <c r="C20" s="45" t="s">
        <v>67</v>
      </c>
      <c r="D20" s="24">
        <v>5</v>
      </c>
      <c r="E20" s="22" t="s">
        <v>47</v>
      </c>
      <c r="F20" s="72">
        <f>IF(VLOOKUP(E20,'UNITS &amp; WASTAGE'!B$3:C$16,2,0)=0,$F$2,VLOOKUP(E20,'UNITS &amp; WASTAGE'!B$3:C$16,2,0))</f>
        <v>0</v>
      </c>
      <c r="G20" s="73">
        <f t="shared" si="0"/>
        <v>5</v>
      </c>
      <c r="H20" s="118">
        <f>0.15*(730)</f>
        <v>109.5</v>
      </c>
      <c r="I20" s="74">
        <v>34.15</v>
      </c>
      <c r="J20" s="73">
        <f t="shared" si="1"/>
        <v>547.5</v>
      </c>
      <c r="K20" s="74">
        <f t="shared" si="2"/>
        <v>18697.125</v>
      </c>
      <c r="L20" s="122">
        <f>0.1*(730)</f>
        <v>73</v>
      </c>
      <c r="M20" s="74">
        <f t="shared" si="3"/>
        <v>365</v>
      </c>
      <c r="N20" s="74">
        <v>0</v>
      </c>
      <c r="O20" s="74">
        <f t="shared" si="4"/>
        <v>0</v>
      </c>
      <c r="P20" s="74">
        <f t="shared" si="5"/>
        <v>19062.125</v>
      </c>
    </row>
    <row r="21" spans="1:16" ht="14.1" x14ac:dyDescent="0.35">
      <c r="A21" s="70">
        <f t="shared" si="6"/>
        <v>9</v>
      </c>
      <c r="B21" s="71"/>
      <c r="C21" s="45" t="s">
        <v>69</v>
      </c>
      <c r="D21" s="24">
        <v>2</v>
      </c>
      <c r="E21" s="22" t="s">
        <v>47</v>
      </c>
      <c r="F21" s="72">
        <f>IF(VLOOKUP(E21,'UNITS &amp; WASTAGE'!B$3:C$16,2,0)=0,$F$2,VLOOKUP(E21,'UNITS &amp; WASTAGE'!B$3:C$16,2,0))</f>
        <v>0</v>
      </c>
      <c r="G21" s="73">
        <f t="shared" si="0"/>
        <v>2</v>
      </c>
      <c r="H21" s="118">
        <f>0.15*(730)</f>
        <v>109.5</v>
      </c>
      <c r="I21" s="74">
        <v>34.15</v>
      </c>
      <c r="J21" s="73">
        <f t="shared" si="1"/>
        <v>219</v>
      </c>
      <c r="K21" s="74">
        <f t="shared" si="2"/>
        <v>7478.8499999999995</v>
      </c>
      <c r="L21" s="122">
        <f>0.1*(730)</f>
        <v>73</v>
      </c>
      <c r="M21" s="74">
        <f t="shared" si="3"/>
        <v>146</v>
      </c>
      <c r="N21" s="74">
        <v>0</v>
      </c>
      <c r="O21" s="74">
        <f t="shared" si="4"/>
        <v>0</v>
      </c>
      <c r="P21" s="74">
        <f t="shared" si="5"/>
        <v>7624.8499999999995</v>
      </c>
    </row>
    <row r="22" spans="1:16" ht="14.1" x14ac:dyDescent="0.35">
      <c r="A22" s="70">
        <f t="shared" si="6"/>
        <v>10</v>
      </c>
      <c r="B22" s="71"/>
      <c r="C22" s="45" t="s">
        <v>68</v>
      </c>
      <c r="D22" s="24">
        <v>5</v>
      </c>
      <c r="E22" s="22" t="s">
        <v>47</v>
      </c>
      <c r="F22" s="72">
        <f>IF(VLOOKUP(E22,'UNITS &amp; WASTAGE'!B$3:C$16,2,0)=0,$F$2,VLOOKUP(E22,'UNITS &amp; WASTAGE'!B$3:C$16,2,0))</f>
        <v>0</v>
      </c>
      <c r="G22" s="73">
        <f t="shared" si="0"/>
        <v>5</v>
      </c>
      <c r="H22" s="118">
        <f>0.08*(730)</f>
        <v>58.4</v>
      </c>
      <c r="I22" s="74">
        <v>34.15</v>
      </c>
      <c r="J22" s="73">
        <f t="shared" si="1"/>
        <v>292</v>
      </c>
      <c r="K22" s="74">
        <f t="shared" si="2"/>
        <v>9971.7999999999993</v>
      </c>
      <c r="L22" s="122">
        <f>0.05*(730)</f>
        <v>36.5</v>
      </c>
      <c r="M22" s="74">
        <f t="shared" si="3"/>
        <v>182.5</v>
      </c>
      <c r="N22" s="74">
        <v>0</v>
      </c>
      <c r="O22" s="74">
        <f t="shared" si="4"/>
        <v>0</v>
      </c>
      <c r="P22" s="74">
        <f t="shared" si="5"/>
        <v>10154.299999999999</v>
      </c>
    </row>
    <row r="23" spans="1:16" ht="14.1" x14ac:dyDescent="0.35">
      <c r="A23" s="70">
        <f t="shared" si="6"/>
        <v>11</v>
      </c>
      <c r="B23" s="71"/>
      <c r="C23" s="45" t="s">
        <v>70</v>
      </c>
      <c r="D23" s="24">
        <v>9</v>
      </c>
      <c r="E23" s="22" t="s">
        <v>47</v>
      </c>
      <c r="F23" s="72">
        <f>IF(VLOOKUP(E23,'UNITS &amp; WASTAGE'!B$3:C$16,2,0)=0,$F$2,VLOOKUP(E23,'UNITS &amp; WASTAGE'!B$3:C$16,2,0))</f>
        <v>0</v>
      </c>
      <c r="G23" s="73">
        <f t="shared" si="0"/>
        <v>9</v>
      </c>
      <c r="H23" s="118">
        <f>0.07*(730)</f>
        <v>51.1</v>
      </c>
      <c r="I23" s="74">
        <v>34.15</v>
      </c>
      <c r="J23" s="73">
        <f t="shared" si="1"/>
        <v>459.90000000000003</v>
      </c>
      <c r="K23" s="74">
        <f t="shared" si="2"/>
        <v>15705.585000000001</v>
      </c>
      <c r="L23" s="122">
        <f>0.05*(730)</f>
        <v>36.5</v>
      </c>
      <c r="M23" s="74">
        <f t="shared" si="3"/>
        <v>328.5</v>
      </c>
      <c r="N23" s="74">
        <v>0</v>
      </c>
      <c r="O23" s="74">
        <f t="shared" si="4"/>
        <v>0</v>
      </c>
      <c r="P23" s="74">
        <f t="shared" si="5"/>
        <v>16034.085000000001</v>
      </c>
    </row>
    <row r="24" spans="1:16" ht="28.35" x14ac:dyDescent="0.35">
      <c r="A24" s="70">
        <f t="shared" si="6"/>
        <v>12</v>
      </c>
      <c r="B24" s="71"/>
      <c r="C24" s="45" t="s">
        <v>87</v>
      </c>
      <c r="D24" s="24">
        <v>7</v>
      </c>
      <c r="E24" s="22" t="s">
        <v>47</v>
      </c>
      <c r="F24" s="72">
        <f>IF(VLOOKUP(E24,'UNITS &amp; WASTAGE'!B$3:C$16,2,0)=0,$F$2,VLOOKUP(E24,'UNITS &amp; WASTAGE'!B$3:C$16,2,0))</f>
        <v>0</v>
      </c>
      <c r="G24" s="73">
        <f t="shared" si="0"/>
        <v>7</v>
      </c>
      <c r="H24" s="118">
        <f>0.05*(730)</f>
        <v>36.5</v>
      </c>
      <c r="I24" s="74">
        <v>34.15</v>
      </c>
      <c r="J24" s="73">
        <f t="shared" si="1"/>
        <v>255.5</v>
      </c>
      <c r="K24" s="74">
        <f t="shared" si="2"/>
        <v>8725.3249999999989</v>
      </c>
      <c r="L24" s="122">
        <f>0.02*(730)</f>
        <v>14.6</v>
      </c>
      <c r="M24" s="74">
        <f t="shared" si="3"/>
        <v>102.2</v>
      </c>
      <c r="N24" s="74">
        <v>0</v>
      </c>
      <c r="O24" s="74">
        <f t="shared" si="4"/>
        <v>0</v>
      </c>
      <c r="P24" s="74">
        <f t="shared" si="5"/>
        <v>8827.5249999999996</v>
      </c>
    </row>
    <row r="25" spans="1:16" ht="28.35" x14ac:dyDescent="0.35">
      <c r="A25" s="70">
        <f t="shared" si="6"/>
        <v>13</v>
      </c>
      <c r="B25" s="71"/>
      <c r="C25" s="45" t="s">
        <v>88</v>
      </c>
      <c r="D25" s="24">
        <v>9</v>
      </c>
      <c r="E25" s="22" t="s">
        <v>47</v>
      </c>
      <c r="F25" s="72">
        <f>IF(VLOOKUP(E25,'UNITS &amp; WASTAGE'!B$3:C$16,2,0)=0,$F$2,VLOOKUP(E25,'UNITS &amp; WASTAGE'!B$3:C$16,2,0))</f>
        <v>0</v>
      </c>
      <c r="G25" s="73">
        <f t="shared" si="0"/>
        <v>9</v>
      </c>
      <c r="H25" s="118">
        <f>0.05*(730)</f>
        <v>36.5</v>
      </c>
      <c r="I25" s="74">
        <v>34.15</v>
      </c>
      <c r="J25" s="73">
        <f t="shared" si="1"/>
        <v>328.5</v>
      </c>
      <c r="K25" s="74">
        <f t="shared" si="2"/>
        <v>11218.275</v>
      </c>
      <c r="L25" s="122">
        <f>0.02*(730)</f>
        <v>14.6</v>
      </c>
      <c r="M25" s="74">
        <f t="shared" si="3"/>
        <v>131.4</v>
      </c>
      <c r="N25" s="74">
        <v>0</v>
      </c>
      <c r="O25" s="74">
        <f t="shared" si="4"/>
        <v>0</v>
      </c>
      <c r="P25" s="74">
        <f t="shared" si="5"/>
        <v>11349.674999999999</v>
      </c>
    </row>
    <row r="26" spans="1:16" ht="28.35" x14ac:dyDescent="0.35">
      <c r="A26" s="70">
        <f t="shared" si="6"/>
        <v>14</v>
      </c>
      <c r="B26" s="71"/>
      <c r="C26" s="45" t="s">
        <v>89</v>
      </c>
      <c r="D26" s="24">
        <v>5</v>
      </c>
      <c r="E26" s="22" t="s">
        <v>47</v>
      </c>
      <c r="F26" s="72">
        <f>IF(VLOOKUP(E26,'UNITS &amp; WASTAGE'!B$3:C$16,2,0)=0,$F$2,VLOOKUP(E26,'UNITS &amp; WASTAGE'!B$3:C$16,2,0))</f>
        <v>0</v>
      </c>
      <c r="G26" s="73">
        <f t="shared" si="0"/>
        <v>5</v>
      </c>
      <c r="H26" s="118">
        <f>0.05*(730)</f>
        <v>36.5</v>
      </c>
      <c r="I26" s="74">
        <v>34.15</v>
      </c>
      <c r="J26" s="73">
        <f t="shared" si="1"/>
        <v>182.5</v>
      </c>
      <c r="K26" s="74">
        <f t="shared" si="2"/>
        <v>6232.375</v>
      </c>
      <c r="L26" s="122">
        <f>0.02*(730)</f>
        <v>14.6</v>
      </c>
      <c r="M26" s="74">
        <f t="shared" si="3"/>
        <v>73</v>
      </c>
      <c r="N26" s="74">
        <v>0</v>
      </c>
      <c r="O26" s="74">
        <f t="shared" si="4"/>
        <v>0</v>
      </c>
      <c r="P26" s="74">
        <f t="shared" si="5"/>
        <v>6305.375</v>
      </c>
    </row>
    <row r="27" spans="1:16" s="3" customFormat="1" ht="14.1" x14ac:dyDescent="0.35">
      <c r="A27" s="70" t="str">
        <f t="shared" si="6"/>
        <v/>
      </c>
      <c r="B27" s="25"/>
      <c r="C27" s="65" t="s">
        <v>71</v>
      </c>
      <c r="D27" s="24"/>
      <c r="E27" s="24"/>
      <c r="F27" s="72"/>
      <c r="G27" s="73"/>
      <c r="H27" s="118"/>
      <c r="I27" s="74"/>
      <c r="J27" s="73"/>
      <c r="K27" s="74"/>
      <c r="L27" s="122">
        <f>24</f>
        <v>24</v>
      </c>
      <c r="M27" s="74"/>
      <c r="N27" s="74"/>
      <c r="O27" s="74"/>
      <c r="P27" s="74"/>
    </row>
    <row r="28" spans="1:16" ht="14.1" x14ac:dyDescent="0.35">
      <c r="A28" s="70">
        <f t="shared" si="6"/>
        <v>15</v>
      </c>
      <c r="B28" s="71"/>
      <c r="C28" s="45" t="s">
        <v>72</v>
      </c>
      <c r="D28" s="24">
        <v>795</v>
      </c>
      <c r="E28" s="22" t="s">
        <v>44</v>
      </c>
      <c r="F28" s="72">
        <f>IF(VLOOKUP(E28,'UNITS &amp; WASTAGE'!B$3:C$16,2,0)=0,$F$2,VLOOKUP(E28,'UNITS &amp; WASTAGE'!B$3:C$16,2,0))</f>
        <v>0.1</v>
      </c>
      <c r="G28" s="73">
        <f>(F28*D28)+D28</f>
        <v>874.5</v>
      </c>
      <c r="H28" s="118">
        <f>0.003*(104)</f>
        <v>0.312</v>
      </c>
      <c r="I28" s="74">
        <v>34.15</v>
      </c>
      <c r="J28" s="73">
        <f t="shared" ref="J28" si="7">H28*G28</f>
        <v>272.84399999999999</v>
      </c>
      <c r="K28" s="74">
        <f t="shared" ref="K28" si="8">I28*J28</f>
        <v>9317.6225999999988</v>
      </c>
      <c r="L28" s="122">
        <f>0.015*(104)</f>
        <v>1.56</v>
      </c>
      <c r="M28" s="74">
        <f t="shared" ref="M28" si="9">L28*G28</f>
        <v>1364.22</v>
      </c>
      <c r="N28" s="74">
        <v>0</v>
      </c>
      <c r="O28" s="74">
        <f t="shared" ref="O28" si="10">N28*G28</f>
        <v>0</v>
      </c>
      <c r="P28" s="74">
        <f t="shared" ref="P28" si="11">IF(D28="","",(K28+M28+O28))</f>
        <v>10681.842599999998</v>
      </c>
    </row>
    <row r="29" spans="1:16" s="3" customFormat="1" ht="14.1" x14ac:dyDescent="0.35">
      <c r="A29" s="70" t="str">
        <f t="shared" si="6"/>
        <v/>
      </c>
      <c r="B29" s="25"/>
      <c r="C29" s="65" t="s">
        <v>75</v>
      </c>
      <c r="D29" s="24"/>
      <c r="E29" s="24"/>
      <c r="F29" s="72"/>
      <c r="G29" s="73"/>
      <c r="H29" s="118"/>
      <c r="I29" s="74"/>
      <c r="J29" s="73"/>
      <c r="K29" s="74"/>
      <c r="L29" s="122"/>
      <c r="M29" s="74"/>
      <c r="N29" s="74"/>
      <c r="O29" s="74"/>
      <c r="P29" s="74"/>
    </row>
    <row r="30" spans="1:16" ht="14.1" x14ac:dyDescent="0.35">
      <c r="A30" s="70">
        <f t="shared" si="6"/>
        <v>16</v>
      </c>
      <c r="B30" s="71"/>
      <c r="C30" s="45" t="s">
        <v>73</v>
      </c>
      <c r="D30" s="24">
        <v>2048</v>
      </c>
      <c r="E30" s="22" t="s">
        <v>44</v>
      </c>
      <c r="F30" s="72">
        <f>IF(VLOOKUP(E30,'UNITS &amp; WASTAGE'!B$3:C$16,2,0)=0,$F$2,VLOOKUP(E30,'UNITS &amp; WASTAGE'!B$3:C$16,2,0))</f>
        <v>0.1</v>
      </c>
      <c r="G30" s="73">
        <f>(F30*D30)+D30</f>
        <v>2252.8000000000002</v>
      </c>
      <c r="H30" s="118">
        <f>0.0018*(24)</f>
        <v>4.3200000000000002E-2</v>
      </c>
      <c r="I30" s="74">
        <v>34.15</v>
      </c>
      <c r="J30" s="73">
        <f t="shared" ref="J30:J33" si="12">H30*G30</f>
        <v>97.320960000000014</v>
      </c>
      <c r="K30" s="74">
        <f t="shared" ref="K30:K33" si="13">I30*J30</f>
        <v>3323.5107840000005</v>
      </c>
      <c r="L30" s="122">
        <f>0.01*(24)</f>
        <v>0.24</v>
      </c>
      <c r="M30" s="74">
        <f t="shared" ref="M30:M33" si="14">L30*G30</f>
        <v>540.67200000000003</v>
      </c>
      <c r="N30" s="74">
        <v>0</v>
      </c>
      <c r="O30" s="74">
        <f t="shared" ref="O30:O33" si="15">N30*G30</f>
        <v>0</v>
      </c>
      <c r="P30" s="74">
        <f t="shared" ref="P30:P33" si="16">IF(D30="","",(K30+M30+O30))</f>
        <v>3864.1827840000005</v>
      </c>
    </row>
    <row r="31" spans="1:16" ht="14.1" x14ac:dyDescent="0.35">
      <c r="A31" s="70">
        <f t="shared" si="6"/>
        <v>17</v>
      </c>
      <c r="B31" s="71"/>
      <c r="C31" s="45" t="s">
        <v>74</v>
      </c>
      <c r="D31" s="24">
        <v>600</v>
      </c>
      <c r="E31" s="22" t="s">
        <v>44</v>
      </c>
      <c r="F31" s="72">
        <f>IF(VLOOKUP(E31,'UNITS &amp; WASTAGE'!B$3:C$16,2,0)=0,$F$2,VLOOKUP(E31,'UNITS &amp; WASTAGE'!B$3:C$16,2,0))</f>
        <v>0.1</v>
      </c>
      <c r="G31" s="73">
        <f>(F31*D31)+D31</f>
        <v>660</v>
      </c>
      <c r="H31" s="118">
        <f>0.002*(24)</f>
        <v>4.8000000000000001E-2</v>
      </c>
      <c r="I31" s="74">
        <v>34.15</v>
      </c>
      <c r="J31" s="73">
        <f t="shared" si="12"/>
        <v>31.68</v>
      </c>
      <c r="K31" s="74">
        <f t="shared" si="13"/>
        <v>1081.8719999999998</v>
      </c>
      <c r="L31" s="122">
        <f>0.012*(24)</f>
        <v>0.28800000000000003</v>
      </c>
      <c r="M31" s="74">
        <f t="shared" si="14"/>
        <v>190.08</v>
      </c>
      <c r="N31" s="74">
        <v>0</v>
      </c>
      <c r="O31" s="74">
        <f t="shared" si="15"/>
        <v>0</v>
      </c>
      <c r="P31" s="74">
        <f t="shared" si="16"/>
        <v>1271.9519999999998</v>
      </c>
    </row>
    <row r="32" spans="1:16" ht="14.1" x14ac:dyDescent="0.35">
      <c r="A32" s="70">
        <f t="shared" si="6"/>
        <v>18</v>
      </c>
      <c r="B32" s="71"/>
      <c r="C32" s="45" t="s">
        <v>76</v>
      </c>
      <c r="D32" s="24">
        <v>795</v>
      </c>
      <c r="E32" s="22" t="s">
        <v>44</v>
      </c>
      <c r="F32" s="72">
        <f>IF(VLOOKUP(E32,'UNITS &amp; WASTAGE'!B$3:C$16,2,0)=0,$F$2,VLOOKUP(E32,'UNITS &amp; WASTAGE'!B$3:C$16,2,0))</f>
        <v>0.1</v>
      </c>
      <c r="G32" s="73">
        <f>(F32*D32)+D32</f>
        <v>874.5</v>
      </c>
      <c r="H32" s="118">
        <f>0.0035*(24)</f>
        <v>8.4000000000000005E-2</v>
      </c>
      <c r="I32" s="74">
        <v>34.15</v>
      </c>
      <c r="J32" s="73">
        <f t="shared" si="12"/>
        <v>73.457999999999998</v>
      </c>
      <c r="K32" s="74">
        <f t="shared" si="13"/>
        <v>2508.5906999999997</v>
      </c>
      <c r="L32" s="122">
        <f>0.02*(24)</f>
        <v>0.48</v>
      </c>
      <c r="M32" s="74">
        <f t="shared" si="14"/>
        <v>419.76</v>
      </c>
      <c r="N32" s="74">
        <v>0</v>
      </c>
      <c r="O32" s="74">
        <f t="shared" si="15"/>
        <v>0</v>
      </c>
      <c r="P32" s="74">
        <f t="shared" si="16"/>
        <v>2928.3507</v>
      </c>
    </row>
    <row r="33" spans="1:16" ht="14.1" x14ac:dyDescent="0.35">
      <c r="A33" s="70">
        <f t="shared" si="6"/>
        <v>19</v>
      </c>
      <c r="B33" s="71"/>
      <c r="C33" s="45" t="s">
        <v>77</v>
      </c>
      <c r="D33" s="24">
        <v>1820</v>
      </c>
      <c r="E33" s="22" t="s">
        <v>44</v>
      </c>
      <c r="F33" s="72">
        <f>IF(VLOOKUP(E33,'UNITS &amp; WASTAGE'!B$3:C$16,2,0)=0,$F$2,VLOOKUP(E33,'UNITS &amp; WASTAGE'!B$3:C$16,2,0))</f>
        <v>0.1</v>
      </c>
      <c r="G33" s="73">
        <f>(F33*D33)+D33</f>
        <v>2002</v>
      </c>
      <c r="H33" s="118">
        <f>0.0025*(24)</f>
        <v>0.06</v>
      </c>
      <c r="I33" s="74">
        <v>34.15</v>
      </c>
      <c r="J33" s="73">
        <f t="shared" si="12"/>
        <v>120.11999999999999</v>
      </c>
      <c r="K33" s="74">
        <f t="shared" si="13"/>
        <v>4102.097999999999</v>
      </c>
      <c r="L33" s="122">
        <f>0.018*(24)</f>
        <v>0.43199999999999994</v>
      </c>
      <c r="M33" s="74">
        <f t="shared" si="14"/>
        <v>864.86399999999992</v>
      </c>
      <c r="N33" s="74">
        <v>0</v>
      </c>
      <c r="O33" s="74">
        <f t="shared" si="15"/>
        <v>0</v>
      </c>
      <c r="P33" s="74">
        <f t="shared" si="16"/>
        <v>4966.9619999999986</v>
      </c>
    </row>
    <row r="34" spans="1:16" s="3" customFormat="1" ht="14.1" x14ac:dyDescent="0.35">
      <c r="A34" s="70" t="str">
        <f t="shared" si="6"/>
        <v/>
      </c>
      <c r="B34" s="25"/>
      <c r="C34" s="65" t="s">
        <v>85</v>
      </c>
      <c r="D34" s="24"/>
      <c r="E34" s="24"/>
      <c r="F34" s="72"/>
      <c r="G34" s="73"/>
      <c r="H34" s="118"/>
      <c r="I34" s="74"/>
      <c r="J34" s="73"/>
      <c r="K34" s="74"/>
      <c r="L34" s="122"/>
      <c r="M34" s="74"/>
      <c r="N34" s="74"/>
      <c r="O34" s="74"/>
      <c r="P34" s="74"/>
    </row>
    <row r="35" spans="1:16" ht="28.35" x14ac:dyDescent="0.35">
      <c r="A35" s="70">
        <f t="shared" si="6"/>
        <v>20</v>
      </c>
      <c r="B35" s="71"/>
      <c r="C35" s="45" t="s">
        <v>78</v>
      </c>
      <c r="D35" s="24">
        <v>1</v>
      </c>
      <c r="E35" s="22" t="s">
        <v>4</v>
      </c>
      <c r="F35" s="72">
        <f>IF(VLOOKUP(E35,'UNITS &amp; WASTAGE'!B$3:C$16,2,0)=0,$F$2,VLOOKUP(E35,'UNITS &amp; WASTAGE'!B$3:C$16,2,0))</f>
        <v>0</v>
      </c>
      <c r="G35" s="73">
        <f>(F35*D35)+D35</f>
        <v>1</v>
      </c>
      <c r="H35" s="118"/>
      <c r="I35" s="74">
        <v>34.15</v>
      </c>
      <c r="J35" s="73">
        <f t="shared" ref="J35:J37" si="17">H35*G35</f>
        <v>0</v>
      </c>
      <c r="K35" s="74">
        <f t="shared" ref="K35:K37" si="18">I35*J35</f>
        <v>0</v>
      </c>
      <c r="L35" s="122">
        <f>180*(24)</f>
        <v>4320</v>
      </c>
      <c r="M35" s="74">
        <f t="shared" ref="M35:M37" si="19">L35*G35</f>
        <v>4320</v>
      </c>
      <c r="N35" s="74">
        <v>0</v>
      </c>
      <c r="O35" s="74">
        <f t="shared" ref="O35:O37" si="20">N35*G35</f>
        <v>0</v>
      </c>
      <c r="P35" s="74">
        <f t="shared" ref="P35:P37" si="21">IF(D35="","",(K35+M35+O35))</f>
        <v>4320</v>
      </c>
    </row>
    <row r="36" spans="1:16" ht="14.1" x14ac:dyDescent="0.35">
      <c r="A36" s="70">
        <f t="shared" si="6"/>
        <v>21</v>
      </c>
      <c r="B36" s="71"/>
      <c r="C36" s="45" t="s">
        <v>79</v>
      </c>
      <c r="D36" s="24">
        <v>1</v>
      </c>
      <c r="E36" s="22" t="s">
        <v>4</v>
      </c>
      <c r="F36" s="72">
        <f>IF(VLOOKUP(E36,'UNITS &amp; WASTAGE'!B$3:C$16,2,0)=0,$F$2,VLOOKUP(E36,'UNITS &amp; WASTAGE'!B$3:C$16,2,0))</f>
        <v>0</v>
      </c>
      <c r="G36" s="73">
        <f>(F36*D36)+D36</f>
        <v>1</v>
      </c>
      <c r="H36" s="118"/>
      <c r="I36" s="74">
        <v>34.15</v>
      </c>
      <c r="J36" s="73">
        <f t="shared" si="17"/>
        <v>0</v>
      </c>
      <c r="K36" s="74">
        <f t="shared" si="18"/>
        <v>0</v>
      </c>
      <c r="L36" s="122">
        <f>60*(24)</f>
        <v>1440</v>
      </c>
      <c r="M36" s="74">
        <f t="shared" si="19"/>
        <v>1440</v>
      </c>
      <c r="N36" s="74">
        <v>0</v>
      </c>
      <c r="O36" s="74">
        <f t="shared" si="20"/>
        <v>0</v>
      </c>
      <c r="P36" s="74">
        <f t="shared" si="21"/>
        <v>1440</v>
      </c>
    </row>
    <row r="37" spans="1:16" ht="28.35" x14ac:dyDescent="0.35">
      <c r="A37" s="70">
        <f t="shared" si="6"/>
        <v>22</v>
      </c>
      <c r="B37" s="71"/>
      <c r="C37" s="45" t="s">
        <v>86</v>
      </c>
      <c r="D37" s="24">
        <v>1</v>
      </c>
      <c r="E37" s="22" t="s">
        <v>4</v>
      </c>
      <c r="F37" s="72">
        <f>IF(VLOOKUP(E37,'UNITS &amp; WASTAGE'!B$3:C$16,2,0)=0,$F$2,VLOOKUP(E37,'UNITS &amp; WASTAGE'!B$3:C$16,2,0))</f>
        <v>0</v>
      </c>
      <c r="G37" s="73">
        <f>(F37*D37)+D37</f>
        <v>1</v>
      </c>
      <c r="H37" s="118"/>
      <c r="I37" s="74">
        <v>34.15</v>
      </c>
      <c r="J37" s="73">
        <f t="shared" si="17"/>
        <v>0</v>
      </c>
      <c r="K37" s="74">
        <f t="shared" si="18"/>
        <v>0</v>
      </c>
      <c r="L37" s="122">
        <f>120*(24)</f>
        <v>2880</v>
      </c>
      <c r="M37" s="74">
        <f t="shared" si="19"/>
        <v>2880</v>
      </c>
      <c r="N37" s="74">
        <v>0</v>
      </c>
      <c r="O37" s="74">
        <f t="shared" si="20"/>
        <v>0</v>
      </c>
      <c r="P37" s="74">
        <f t="shared" si="21"/>
        <v>2880</v>
      </c>
    </row>
    <row r="38" spans="1:16" s="3" customFormat="1" ht="14.1" x14ac:dyDescent="0.35">
      <c r="A38" s="70" t="str">
        <f t="shared" si="6"/>
        <v/>
      </c>
      <c r="B38" s="25"/>
      <c r="C38" s="65" t="s">
        <v>80</v>
      </c>
      <c r="D38" s="24"/>
      <c r="E38" s="24"/>
      <c r="F38" s="72"/>
      <c r="G38" s="73"/>
      <c r="H38" s="118"/>
      <c r="I38" s="74"/>
      <c r="J38" s="73"/>
      <c r="K38" s="74"/>
      <c r="L38" s="122"/>
      <c r="M38" s="74"/>
      <c r="N38" s="74"/>
      <c r="O38" s="74"/>
      <c r="P38" s="74"/>
    </row>
    <row r="39" spans="1:16" ht="14.1" x14ac:dyDescent="0.35">
      <c r="A39" s="70">
        <f t="shared" si="6"/>
        <v>23</v>
      </c>
      <c r="B39" s="71"/>
      <c r="C39" s="45" t="s">
        <v>81</v>
      </c>
      <c r="D39" s="24">
        <v>1</v>
      </c>
      <c r="E39" s="22" t="s">
        <v>4</v>
      </c>
      <c r="F39" s="72">
        <f>IF(VLOOKUP(E39,'UNITS &amp; WASTAGE'!B$3:C$16,2,0)=0,$F$2,VLOOKUP(E39,'UNITS &amp; WASTAGE'!B$3:C$16,2,0))</f>
        <v>0</v>
      </c>
      <c r="G39" s="73">
        <f>(F39*D39)+D39</f>
        <v>1</v>
      </c>
      <c r="H39" s="118">
        <v>3.375</v>
      </c>
      <c r="I39" s="74">
        <v>34.15</v>
      </c>
      <c r="J39" s="73">
        <f t="shared" ref="J39:J40" si="22">H39*G39</f>
        <v>3.375</v>
      </c>
      <c r="K39" s="74">
        <f t="shared" ref="K39:K40" si="23">I39*J39</f>
        <v>115.25624999999999</v>
      </c>
      <c r="L39" s="122">
        <v>20</v>
      </c>
      <c r="M39" s="74">
        <f t="shared" ref="M39:M40" si="24">L39*G39</f>
        <v>20</v>
      </c>
      <c r="N39" s="74">
        <v>0</v>
      </c>
      <c r="O39" s="74">
        <f t="shared" ref="O39:O40" si="25">N39*G39</f>
        <v>0</v>
      </c>
      <c r="P39" s="74">
        <f t="shared" ref="P39:P40" si="26">IF(D39="","",(K39+M39+O39))</f>
        <v>135.25624999999999</v>
      </c>
    </row>
    <row r="40" spans="1:16" ht="14.1" x14ac:dyDescent="0.35">
      <c r="A40" s="70">
        <f t="shared" si="6"/>
        <v>24</v>
      </c>
      <c r="B40" s="71"/>
      <c r="C40" s="45" t="s">
        <v>82</v>
      </c>
      <c r="D40" s="24">
        <v>1</v>
      </c>
      <c r="E40" s="22" t="s">
        <v>4</v>
      </c>
      <c r="F40" s="72">
        <f>IF(VLOOKUP(E40,'UNITS &amp; WASTAGE'!B$3:C$16,2,0)=0,$F$2,VLOOKUP(E40,'UNITS &amp; WASTAGE'!B$3:C$16,2,0))</f>
        <v>0</v>
      </c>
      <c r="G40" s="73">
        <f>(F40*D40)+D40</f>
        <v>1</v>
      </c>
      <c r="H40" s="118">
        <v>2.25</v>
      </c>
      <c r="I40" s="74">
        <v>34.15</v>
      </c>
      <c r="J40" s="73">
        <f t="shared" si="22"/>
        <v>2.25</v>
      </c>
      <c r="K40" s="74">
        <f t="shared" si="23"/>
        <v>76.837499999999991</v>
      </c>
      <c r="L40" s="122">
        <v>25</v>
      </c>
      <c r="M40" s="74">
        <f t="shared" si="24"/>
        <v>25</v>
      </c>
      <c r="N40" s="74">
        <v>0</v>
      </c>
      <c r="O40" s="74">
        <f t="shared" si="25"/>
        <v>0</v>
      </c>
      <c r="P40" s="74">
        <f t="shared" si="26"/>
        <v>101.83749999999999</v>
      </c>
    </row>
    <row r="41" spans="1:16" s="3" customFormat="1" ht="18" customHeight="1" x14ac:dyDescent="0.35">
      <c r="A41" s="91" t="str">
        <f>IF(E41=0,"",1+MAX(#REF!))</f>
        <v/>
      </c>
      <c r="B41" s="92"/>
      <c r="C41" s="93"/>
      <c r="D41" s="94"/>
      <c r="E41" s="94"/>
      <c r="F41" s="94"/>
      <c r="G41" s="95"/>
      <c r="H41" s="119"/>
      <c r="I41" s="94"/>
      <c r="J41" s="94"/>
      <c r="K41" s="94"/>
      <c r="L41" s="94"/>
      <c r="M41" s="94"/>
      <c r="N41" s="94"/>
      <c r="O41" s="94" t="s">
        <v>17</v>
      </c>
      <c r="P41" s="96">
        <f>SUM(P12:P40)</f>
        <v>430279.801354</v>
      </c>
    </row>
    <row r="42" spans="1:16" ht="18" customHeight="1" x14ac:dyDescent="0.35">
      <c r="A42" s="132"/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58"/>
      <c r="O42" s="58"/>
      <c r="P42" s="23"/>
    </row>
    <row r="43" spans="1:16" s="79" customFormat="1" ht="20.100000000000001" customHeight="1" x14ac:dyDescent="0.35">
      <c r="A43" s="136" t="s">
        <v>7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8"/>
      <c r="O43" s="89"/>
      <c r="P43" s="90">
        <f>SUM(P11:P41)/2</f>
        <v>430279.801354</v>
      </c>
    </row>
    <row r="44" spans="1:16" s="79" customFormat="1" ht="20.100000000000001" customHeight="1" x14ac:dyDescent="0.35">
      <c r="A44" s="136" t="s">
        <v>13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8"/>
      <c r="O44" s="89">
        <v>0.2</v>
      </c>
      <c r="P44" s="90">
        <f>$P$43*O44</f>
        <v>86055.960270800002</v>
      </c>
    </row>
    <row r="45" spans="1:16" s="79" customFormat="1" ht="20.100000000000001" customHeight="1" x14ac:dyDescent="0.35">
      <c r="A45" s="136" t="s">
        <v>3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8"/>
      <c r="O45" s="89">
        <v>0.03</v>
      </c>
      <c r="P45" s="90">
        <f>$P$43*O45</f>
        <v>12908.39404062</v>
      </c>
    </row>
    <row r="46" spans="1:16" s="79" customFormat="1" ht="20.100000000000001" customHeight="1" x14ac:dyDescent="0.35">
      <c r="A46" s="136" t="s">
        <v>11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8"/>
      <c r="O46" s="89">
        <v>0.05</v>
      </c>
      <c r="P46" s="90">
        <f>$P$43*O46</f>
        <v>21513.990067700001</v>
      </c>
    </row>
    <row r="47" spans="1:16" s="3" customFormat="1" ht="20.100000000000001" customHeight="1" x14ac:dyDescent="0.35">
      <c r="A47" s="134" t="s">
        <v>8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97"/>
      <c r="O47" s="97"/>
      <c r="P47" s="98">
        <f>SUM(P43:P46)</f>
        <v>550758.14573312004</v>
      </c>
    </row>
    <row r="48" spans="1:16" ht="20.100000000000001" customHeight="1" x14ac:dyDescent="0.35">
      <c r="A48" s="57" t="s">
        <v>31</v>
      </c>
      <c r="B48" s="11"/>
      <c r="C48" s="26"/>
      <c r="D48" s="27"/>
      <c r="E48" s="26"/>
      <c r="F48" s="27"/>
      <c r="G48" s="41"/>
      <c r="H48" s="120"/>
      <c r="I48" s="26"/>
      <c r="J48" s="26"/>
      <c r="K48" s="26"/>
      <c r="L48" s="26"/>
      <c r="M48" s="26"/>
      <c r="N48" s="26"/>
      <c r="O48" s="26"/>
      <c r="P48" s="28"/>
    </row>
    <row r="49" spans="1:16" ht="30" customHeight="1" x14ac:dyDescent="0.35">
      <c r="A49" s="53"/>
      <c r="B49" s="128" t="s">
        <v>50</v>
      </c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44"/>
    </row>
    <row r="50" spans="1:16" ht="20.100000000000001" customHeight="1" x14ac:dyDescent="0.35">
      <c r="A50" s="53"/>
      <c r="B50" s="54"/>
      <c r="C50" s="55"/>
      <c r="D50" s="56"/>
      <c r="E50" s="26"/>
      <c r="F50" s="27"/>
      <c r="G50" s="41"/>
      <c r="H50" s="120"/>
      <c r="I50" s="26"/>
      <c r="J50" s="26"/>
      <c r="K50" s="26"/>
      <c r="L50" s="26"/>
      <c r="M50" s="26"/>
      <c r="N50" s="26"/>
      <c r="O50" s="26"/>
      <c r="P50" s="28"/>
    </row>
    <row r="51" spans="1:16" ht="20.100000000000001" customHeight="1" x14ac:dyDescent="0.35">
      <c r="A51" s="53"/>
      <c r="C51" s="59" t="s">
        <v>33</v>
      </c>
      <c r="D51" s="7"/>
      <c r="F51" s="26"/>
      <c r="G51" s="26"/>
      <c r="H51" s="120"/>
      <c r="M51" s="59" t="s">
        <v>34</v>
      </c>
      <c r="N51" s="27"/>
      <c r="O51" s="26"/>
      <c r="P51" s="28"/>
    </row>
    <row r="52" spans="1:16" ht="19.899999999999999" customHeight="1" x14ac:dyDescent="0.35">
      <c r="A52" s="60"/>
      <c r="B52" s="7">
        <v>1</v>
      </c>
      <c r="C52" s="61" t="s">
        <v>35</v>
      </c>
      <c r="D52" s="7"/>
      <c r="F52" s="26"/>
      <c r="G52" s="26"/>
      <c r="H52" s="120"/>
      <c r="M52" s="62" t="s">
        <v>43</v>
      </c>
      <c r="N52" s="27"/>
      <c r="O52" s="26"/>
      <c r="P52" s="44"/>
    </row>
    <row r="53" spans="1:16" ht="20.100000000000001" customHeight="1" x14ac:dyDescent="0.35">
      <c r="A53" s="53"/>
      <c r="C53" s="62"/>
      <c r="D53" s="62"/>
      <c r="F53" s="26"/>
      <c r="G53" s="26"/>
      <c r="H53" s="120"/>
      <c r="M53" s="62" t="s">
        <v>36</v>
      </c>
      <c r="N53" s="27"/>
      <c r="O53" s="26"/>
      <c r="P53" s="44"/>
    </row>
    <row r="54" spans="1:16" ht="20.100000000000001" customHeight="1" x14ac:dyDescent="0.35">
      <c r="A54" s="53"/>
      <c r="D54" s="56"/>
      <c r="F54" s="26"/>
      <c r="G54" s="26"/>
      <c r="H54" s="120"/>
      <c r="M54" s="62" t="s">
        <v>37</v>
      </c>
      <c r="N54" s="63"/>
      <c r="O54" s="26"/>
      <c r="P54" s="28"/>
    </row>
    <row r="55" spans="1:16" ht="20.100000000000001" customHeight="1" x14ac:dyDescent="0.35">
      <c r="A55" s="53"/>
      <c r="C55" s="64"/>
      <c r="D55" s="56"/>
      <c r="F55" s="26"/>
      <c r="G55" s="26"/>
      <c r="H55" s="120"/>
      <c r="M55" s="62" t="s">
        <v>38</v>
      </c>
      <c r="N55" s="14"/>
      <c r="O55" s="26"/>
      <c r="P55" s="28"/>
    </row>
    <row r="56" spans="1:16" ht="20.100000000000001" customHeight="1" x14ac:dyDescent="0.35">
      <c r="A56" s="53"/>
      <c r="D56" s="56"/>
      <c r="F56" s="26"/>
      <c r="G56" s="26"/>
      <c r="H56" s="120"/>
      <c r="M56" s="62" t="s">
        <v>39</v>
      </c>
      <c r="N56" s="14"/>
      <c r="O56" s="26"/>
      <c r="P56" s="44"/>
    </row>
    <row r="57" spans="1:16" ht="20.100000000000001" customHeight="1" x14ac:dyDescent="0.2">
      <c r="A57" s="53"/>
      <c r="C57" s="55"/>
      <c r="D57" s="56"/>
      <c r="J57" s="26"/>
      <c r="K57" s="26"/>
      <c r="L57" s="26"/>
      <c r="M57" s="62" t="s">
        <v>40</v>
      </c>
      <c r="N57" s="14"/>
      <c r="O57" s="26"/>
      <c r="P57" s="44"/>
    </row>
    <row r="58" spans="1:16" ht="20.100000000000001" customHeight="1" x14ac:dyDescent="0.2">
      <c r="A58" s="53"/>
      <c r="C58" s="55"/>
      <c r="D58" s="56"/>
      <c r="J58" s="26"/>
      <c r="K58" s="26"/>
      <c r="L58" s="26"/>
      <c r="M58" s="62" t="s">
        <v>41</v>
      </c>
      <c r="N58" s="14"/>
      <c r="O58" s="26"/>
      <c r="P58" s="28"/>
    </row>
    <row r="59" spans="1:16" ht="20.100000000000001" customHeight="1" x14ac:dyDescent="0.2">
      <c r="A59" s="53"/>
      <c r="C59" s="55"/>
      <c r="D59" s="56"/>
      <c r="J59" s="26"/>
      <c r="K59" s="26"/>
      <c r="L59" s="26"/>
      <c r="M59" s="62" t="s">
        <v>42</v>
      </c>
      <c r="N59" s="14"/>
      <c r="O59" s="26"/>
      <c r="P59" s="28"/>
    </row>
    <row r="60" spans="1:16" ht="15.75" customHeight="1" x14ac:dyDescent="0.2">
      <c r="A60" s="53"/>
      <c r="B60" s="54"/>
      <c r="C60" s="55"/>
      <c r="D60" s="56"/>
      <c r="E60" s="26"/>
      <c r="F60" s="27"/>
      <c r="G60" s="41"/>
      <c r="H60" s="120"/>
      <c r="I60" s="26"/>
      <c r="J60" s="26"/>
      <c r="K60" s="26"/>
      <c r="L60" s="26"/>
      <c r="M60" s="26"/>
      <c r="N60" s="26"/>
      <c r="O60" s="26"/>
      <c r="P60" s="44"/>
    </row>
    <row r="61" spans="1:16" ht="15.75" customHeight="1" thickBot="1" x14ac:dyDescent="0.25">
      <c r="A61" s="12"/>
      <c r="B61" s="13"/>
      <c r="C61" s="29"/>
      <c r="D61" s="30"/>
      <c r="E61" s="29"/>
      <c r="F61" s="30"/>
      <c r="G61" s="42"/>
      <c r="H61" s="121"/>
      <c r="I61" s="29"/>
      <c r="J61" s="29"/>
      <c r="K61" s="29"/>
      <c r="L61" s="29"/>
      <c r="M61" s="29"/>
      <c r="N61" s="29"/>
      <c r="O61" s="29"/>
      <c r="P61" s="31"/>
    </row>
  </sheetData>
  <mergeCells count="20">
    <mergeCell ref="K3:L3"/>
    <mergeCell ref="M3:N3"/>
    <mergeCell ref="M4:N4"/>
    <mergeCell ref="K4:L4"/>
    <mergeCell ref="K7:L7"/>
    <mergeCell ref="K6:L6"/>
    <mergeCell ref="K5:L5"/>
    <mergeCell ref="B49:O49"/>
    <mergeCell ref="K8:L8"/>
    <mergeCell ref="M5:N5"/>
    <mergeCell ref="M6:N6"/>
    <mergeCell ref="M8:N8"/>
    <mergeCell ref="M7:N7"/>
    <mergeCell ref="A42:M42"/>
    <mergeCell ref="A47:M47"/>
    <mergeCell ref="A43:N43"/>
    <mergeCell ref="A44:N44"/>
    <mergeCell ref="A45:N45"/>
    <mergeCell ref="A46:N46"/>
    <mergeCell ref="B11:O11"/>
  </mergeCells>
  <conditionalFormatting sqref="B7">
    <cfRule type="expression" dxfId="1" priority="2">
      <formula>ISBLANK(B7)</formula>
    </cfRule>
  </conditionalFormatting>
  <pageMargins left="0" right="0" top="1" bottom="0" header="0" footer="0"/>
  <pageSetup paperSize="9" scale="1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'UNITS &amp; WASTAGE'!$B$3:$B$13</xm:f>
          </x14:formula1>
          <xm:sqref>E13:E26 E28 E30:E33 E35:E37 E39:E40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2:C13"/>
  <sheetViews>
    <sheetView zoomScaleNormal="100" workbookViewId="0">
      <selection activeCell="B9" sqref="B9:B10"/>
    </sheetView>
  </sheetViews>
  <sheetFormatPr defaultColWidth="9.125" defaultRowHeight="15" x14ac:dyDescent="0.2"/>
  <cols>
    <col min="1" max="1" width="9.125" style="108"/>
    <col min="2" max="2" width="12.75" style="108" customWidth="1"/>
    <col min="3" max="3" width="10.375" style="108" bestFit="1" customWidth="1"/>
    <col min="4" max="4" width="14" style="108" customWidth="1"/>
    <col min="5" max="16384" width="9.125" style="108"/>
  </cols>
  <sheetData>
    <row r="2" spans="2:3" ht="20.100000000000001" x14ac:dyDescent="0.35">
      <c r="B2" s="111" t="s">
        <v>55</v>
      </c>
      <c r="C2" s="111" t="s">
        <v>56</v>
      </c>
    </row>
    <row r="3" spans="2:3" ht="15.4" x14ac:dyDescent="0.35">
      <c r="B3" s="109" t="s">
        <v>47</v>
      </c>
      <c r="C3" s="110">
        <f>'[1]BASE BID'!D$11</f>
        <v>0</v>
      </c>
    </row>
    <row r="4" spans="2:3" ht="15.4" x14ac:dyDescent="0.35">
      <c r="B4" s="109" t="s">
        <v>48</v>
      </c>
      <c r="C4" s="110">
        <v>0.1</v>
      </c>
    </row>
    <row r="5" spans="2:3" ht="15.4" x14ac:dyDescent="0.35">
      <c r="B5" s="109" t="s">
        <v>44</v>
      </c>
      <c r="C5" s="110">
        <v>0.1</v>
      </c>
    </row>
    <row r="6" spans="2:3" ht="15.4" x14ac:dyDescent="0.35">
      <c r="B6" s="109" t="s">
        <v>57</v>
      </c>
      <c r="C6" s="110">
        <v>0.1</v>
      </c>
    </row>
    <row r="7" spans="2:3" ht="15.4" x14ac:dyDescent="0.35">
      <c r="B7" s="109" t="s">
        <v>53</v>
      </c>
      <c r="C7" s="110">
        <v>0.1</v>
      </c>
    </row>
    <row r="8" spans="2:3" ht="15.4" x14ac:dyDescent="0.35">
      <c r="B8" s="109" t="s">
        <v>58</v>
      </c>
      <c r="C8" s="110">
        <v>0.1</v>
      </c>
    </row>
    <row r="9" spans="2:3" ht="15.4" x14ac:dyDescent="0.35">
      <c r="B9" s="109" t="s">
        <v>49</v>
      </c>
      <c r="C9" s="110">
        <v>0.1</v>
      </c>
    </row>
    <row r="10" spans="2:3" ht="15.4" x14ac:dyDescent="0.35">
      <c r="B10" s="109" t="s">
        <v>4</v>
      </c>
      <c r="C10" s="110">
        <f>'[1]BASE BID'!D$11</f>
        <v>0</v>
      </c>
    </row>
    <row r="11" spans="2:3" ht="15.4" x14ac:dyDescent="0.35">
      <c r="B11" s="109" t="s">
        <v>51</v>
      </c>
      <c r="C11" s="110">
        <f>'[1]BASE BID'!D$11</f>
        <v>0</v>
      </c>
    </row>
    <row r="12" spans="2:3" ht="15.4" x14ac:dyDescent="0.35">
      <c r="B12" s="109" t="s">
        <v>52</v>
      </c>
      <c r="C12" s="110">
        <f>'[1]BASE BID'!D$11</f>
        <v>0</v>
      </c>
    </row>
    <row r="13" spans="2:3" ht="15.4" x14ac:dyDescent="0.35">
      <c r="B13" s="109"/>
      <c r="C13" s="10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2AEC2A-6EA9-4FCB-9AE9-61F628857AE3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</vt:lpstr>
      <vt:lpstr>BASE BID</vt:lpstr>
      <vt:lpstr>UNITS &amp; WASTAGE</vt:lpstr>
      <vt:lpstr>'BASE BID'!Print_Area</vt:lpstr>
      <vt:lpstr>SUMMARY!Print_Area</vt:lpstr>
      <vt:lpstr>'BASE BID'!Print_Titles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2026-05-01T19:31:56Z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{452AEC2A-6EA9-4FCB-9AE9-61F628857AE3}</vt:lpwstr>
  </property>
</Properties>
</file>