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19440" windowHeight="11040" activeTab="1"/>
  </bookViews>
  <sheets>
    <sheet name="SUMMARY" sheetId="3" r:id="rId1"/>
    <sheet name="MATERIAL TAKE-OFF" sheetId="1" r:id="rId2"/>
  </sheets>
  <definedNames>
    <definedName name="_xlnm._FilterDatabase" localSheetId="1" hidden="1">'MATERIAL TAKE-OFF'!$A$10:$P$19</definedName>
    <definedName name="_xlnm.Print_Area" localSheetId="1">'MATERIAL TAKE-OFF'!$A$2:$P$64</definedName>
    <definedName name="_xlnm.Print_Titles" localSheetId="1">'MATERIAL TAKE-OFF'!$1:$10</definedName>
  </definedNames>
  <calcPr calcId="145621"/>
  <fileRecoveryPr autoRecover="0"/>
</workbook>
</file>

<file path=xl/calcChain.xml><?xml version="1.0" encoding="utf-8"?>
<calcChain xmlns="http://schemas.openxmlformats.org/spreadsheetml/2006/main">
  <c r="Q12" i="1" l="1"/>
  <c r="G18" i="1"/>
  <c r="O18" i="1" s="1"/>
  <c r="G17" i="1"/>
  <c r="O17" i="1" s="1"/>
  <c r="G16" i="1"/>
  <c r="O16" i="1" s="1"/>
  <c r="G15" i="1"/>
  <c r="O15" i="1" s="1"/>
  <c r="G14" i="1"/>
  <c r="O14" i="1" s="1"/>
  <c r="G13" i="1"/>
  <c r="O13" i="1" s="1"/>
  <c r="A13" i="1"/>
  <c r="A14" i="1" s="1"/>
  <c r="A15" i="1" s="1"/>
  <c r="A16" i="1" s="1"/>
  <c r="A17" i="1" s="1"/>
  <c r="A18" i="1" s="1"/>
  <c r="G12" i="1"/>
  <c r="O12" i="1" s="1"/>
  <c r="G43" i="1"/>
  <c r="O43" i="1" s="1"/>
  <c r="G42" i="1"/>
  <c r="O42" i="1" s="1"/>
  <c r="O40" i="1"/>
  <c r="G40" i="1"/>
  <c r="J40" i="1" s="1"/>
  <c r="K40" i="1" s="1"/>
  <c r="G38" i="1"/>
  <c r="M38" i="1" s="1"/>
  <c r="G37" i="1"/>
  <c r="J37" i="1" s="1"/>
  <c r="K37" i="1" s="1"/>
  <c r="G36" i="1"/>
  <c r="J36" i="1" s="1"/>
  <c r="K36" i="1" s="1"/>
  <c r="G35" i="1"/>
  <c r="J35" i="1" s="1"/>
  <c r="K35" i="1" s="1"/>
  <c r="G34" i="1"/>
  <c r="O34" i="1" s="1"/>
  <c r="O33" i="1"/>
  <c r="G33" i="1"/>
  <c r="M33" i="1" s="1"/>
  <c r="G32" i="1"/>
  <c r="O32" i="1" s="1"/>
  <c r="G31" i="1"/>
  <c r="O31" i="1" s="1"/>
  <c r="G30" i="1"/>
  <c r="M30" i="1" s="1"/>
  <c r="G29" i="1"/>
  <c r="J29" i="1" s="1"/>
  <c r="K29" i="1" s="1"/>
  <c r="G28" i="1"/>
  <c r="J28" i="1" s="1"/>
  <c r="K28" i="1" s="1"/>
  <c r="M27" i="1"/>
  <c r="G27" i="1"/>
  <c r="J27" i="1" s="1"/>
  <c r="K27" i="1" s="1"/>
  <c r="G26" i="1"/>
  <c r="J26" i="1" s="1"/>
  <c r="K26" i="1" s="1"/>
  <c r="G25" i="1"/>
  <c r="M25" i="1" s="1"/>
  <c r="G24" i="1"/>
  <c r="O24" i="1" s="1"/>
  <c r="G23" i="1"/>
  <c r="O23" i="1" s="1"/>
  <c r="M12" i="1" l="1"/>
  <c r="M13" i="1"/>
  <c r="M14" i="1"/>
  <c r="M15" i="1"/>
  <c r="M16" i="1"/>
  <c r="M17" i="1"/>
  <c r="M18" i="1"/>
  <c r="J33" i="1"/>
  <c r="K33" i="1" s="1"/>
  <c r="O36" i="1"/>
  <c r="M26" i="1"/>
  <c r="P26" i="1" s="1"/>
  <c r="O37" i="1"/>
  <c r="M29" i="1"/>
  <c r="M35" i="1"/>
  <c r="J25" i="1"/>
  <c r="K25" i="1" s="1"/>
  <c r="O30" i="1"/>
  <c r="O38" i="1"/>
  <c r="M28" i="1"/>
  <c r="O27" i="1"/>
  <c r="P27" i="1" s="1"/>
  <c r="J30" i="1"/>
  <c r="K30" i="1" s="1"/>
  <c r="J34" i="1"/>
  <c r="K34" i="1" s="1"/>
  <c r="O35" i="1"/>
  <c r="O25" i="1"/>
  <c r="O28" i="1"/>
  <c r="M34" i="1"/>
  <c r="M36" i="1"/>
  <c r="P36" i="1" s="1"/>
  <c r="M40" i="1"/>
  <c r="P40" i="1" s="1"/>
  <c r="P33" i="1"/>
  <c r="O29" i="1"/>
  <c r="P29" i="1" s="1"/>
  <c r="M37" i="1"/>
  <c r="J43" i="1"/>
  <c r="K43" i="1" s="1"/>
  <c r="J42" i="1"/>
  <c r="K42" i="1" s="1"/>
  <c r="M43" i="1"/>
  <c r="M42" i="1"/>
  <c r="P25" i="1"/>
  <c r="J24" i="1"/>
  <c r="K24" i="1" s="1"/>
  <c r="J32" i="1"/>
  <c r="K32" i="1" s="1"/>
  <c r="J23" i="1"/>
  <c r="K23" i="1" s="1"/>
  <c r="P23" i="1" s="1"/>
  <c r="O26" i="1"/>
  <c r="J31" i="1"/>
  <c r="K31" i="1" s="1"/>
  <c r="M32" i="1"/>
  <c r="J38" i="1"/>
  <c r="K38" i="1" s="1"/>
  <c r="M24" i="1"/>
  <c r="M23" i="1"/>
  <c r="M31" i="1"/>
  <c r="P28" i="1" l="1"/>
  <c r="P37" i="1"/>
  <c r="P35" i="1"/>
  <c r="P38" i="1"/>
  <c r="P34" i="1"/>
  <c r="P30" i="1"/>
  <c r="P42" i="1"/>
  <c r="P43" i="1"/>
  <c r="P32" i="1"/>
  <c r="P24" i="1"/>
  <c r="P31" i="1"/>
  <c r="P44" i="1" l="1"/>
  <c r="A19" i="1"/>
  <c r="A20" i="1"/>
  <c r="A21" i="1"/>
  <c r="A22" i="1"/>
  <c r="A39" i="1"/>
  <c r="A41" i="1"/>
  <c r="A44" i="1"/>
  <c r="C12" i="3" l="1"/>
  <c r="D12" i="3" l="1"/>
  <c r="A23" i="1" l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40" i="1" s="1"/>
  <c r="A42" i="1" s="1"/>
  <c r="A43" i="1" s="1"/>
  <c r="H17" i="1" l="1"/>
  <c r="J17" i="1"/>
  <c r="K17" i="1" s="1"/>
  <c r="P17" i="1" s="1"/>
  <c r="H16" i="1"/>
  <c r="J16" i="1" s="1"/>
  <c r="K16" i="1" s="1"/>
  <c r="P16" i="1" s="1"/>
  <c r="H18" i="1"/>
  <c r="J18" i="1"/>
  <c r="K18" i="1"/>
  <c r="P18" i="1" s="1"/>
  <c r="H13" i="1"/>
  <c r="J13" i="1"/>
  <c r="K13" i="1" s="1"/>
  <c r="P13" i="1" s="1"/>
  <c r="H14" i="1"/>
  <c r="J14" i="1"/>
  <c r="K14" i="1" s="1"/>
  <c r="P14" i="1" s="1"/>
  <c r="H12" i="1"/>
  <c r="J12" i="1"/>
  <c r="K12" i="1"/>
  <c r="P12" i="1"/>
  <c r="H15" i="1"/>
  <c r="J15" i="1"/>
  <c r="K15" i="1" s="1"/>
  <c r="P15" i="1" s="1"/>
  <c r="P19" i="1" l="1"/>
  <c r="C11" i="3" s="1"/>
  <c r="P46" i="1"/>
  <c r="P49" i="1" l="1"/>
  <c r="P47" i="1"/>
  <c r="P48" i="1"/>
  <c r="P50" i="1"/>
  <c r="D11" i="3"/>
  <c r="D13" i="3" s="1"/>
  <c r="C13" i="3"/>
  <c r="C16" i="3" l="1"/>
  <c r="C15" i="3"/>
  <c r="C17" i="3"/>
  <c r="D17" i="3"/>
  <c r="D15" i="3"/>
  <c r="D16" i="3"/>
  <c r="D18" i="3" l="1"/>
  <c r="C18" i="3"/>
</calcChain>
</file>

<file path=xl/sharedStrings.xml><?xml version="1.0" encoding="utf-8"?>
<sst xmlns="http://schemas.openxmlformats.org/spreadsheetml/2006/main" count="114" uniqueCount="85">
  <si>
    <t>DESCRIPTION</t>
  </si>
  <si>
    <t>QUANTITY</t>
  </si>
  <si>
    <t>UNIT</t>
  </si>
  <si>
    <t>Mobilization Costs</t>
  </si>
  <si>
    <t>Temporary Control &amp; Facilities</t>
  </si>
  <si>
    <t>INSURANCE</t>
  </si>
  <si>
    <t>LS</t>
  </si>
  <si>
    <t>SR #</t>
  </si>
  <si>
    <t>Supervision and Coordination</t>
  </si>
  <si>
    <t>Final Cleaning</t>
  </si>
  <si>
    <t>Submittals and Shop drawings</t>
  </si>
  <si>
    <t>SUB COST</t>
  </si>
  <si>
    <t>PROJECTED COST</t>
  </si>
  <si>
    <t>SUGGESTED BID</t>
  </si>
  <si>
    <t>Scaffolding</t>
  </si>
  <si>
    <t>DIVISION NO.</t>
  </si>
  <si>
    <t>TOTAL DIV. COST</t>
  </si>
  <si>
    <t>General Requirements</t>
  </si>
  <si>
    <t>CONTINGENCY</t>
  </si>
  <si>
    <t>Date:</t>
  </si>
  <si>
    <t>OVERHEAD AND PROFIT</t>
  </si>
  <si>
    <t>Scope:</t>
  </si>
  <si>
    <t>WASTAGE</t>
  </si>
  <si>
    <t>QUANTITY W/ WASTAGE</t>
  </si>
  <si>
    <t>SUBTOTAL</t>
  </si>
  <si>
    <t>REF</t>
  </si>
  <si>
    <t xml:space="preserve">Project: </t>
  </si>
  <si>
    <t>MATERIAL RATE</t>
  </si>
  <si>
    <t>EQUIPMENT RATE</t>
  </si>
  <si>
    <t>Bond @ 2%</t>
  </si>
  <si>
    <t>SUGGESTED BASE BID</t>
  </si>
  <si>
    <t>No. of Floors:</t>
  </si>
  <si>
    <t>Address:</t>
  </si>
  <si>
    <t>WAGES</t>
  </si>
  <si>
    <t>TOTAL LABOUR COST</t>
  </si>
  <si>
    <t>LABOR HOURS</t>
  </si>
  <si>
    <t>TOTAL LABOR  HOUR</t>
  </si>
  <si>
    <t>TOTAL MATETRIAL COST</t>
  </si>
  <si>
    <t>TOTAL EQUIPMENT COSTS</t>
  </si>
  <si>
    <t>NOTES:</t>
  </si>
  <si>
    <t>Project ID:</t>
  </si>
  <si>
    <t>Furnishes</t>
  </si>
  <si>
    <t>Note</t>
  </si>
  <si>
    <t>Legend</t>
  </si>
  <si>
    <t>The drawings are scaled as per the mentioned scales on the plans.</t>
  </si>
  <si>
    <r>
      <rPr>
        <b/>
        <sz val="11"/>
        <color rgb="FF000000"/>
        <rFont val="Arial"/>
        <family val="2"/>
      </rPr>
      <t>SF</t>
    </r>
    <r>
      <rPr>
        <sz val="11"/>
        <color rgb="FF000000"/>
        <rFont val="Arial"/>
        <family val="2"/>
      </rPr>
      <t>= Square Feet</t>
    </r>
  </si>
  <si>
    <r>
      <rPr>
        <b/>
        <sz val="11"/>
        <color rgb="FF000000"/>
        <rFont val="Arial"/>
        <family val="2"/>
      </rPr>
      <t>LF</t>
    </r>
    <r>
      <rPr>
        <sz val="11"/>
        <color rgb="FF000000"/>
        <rFont val="Arial"/>
        <family val="2"/>
      </rPr>
      <t xml:space="preserve"> = Linear Feet</t>
    </r>
  </si>
  <si>
    <r>
      <rPr>
        <b/>
        <sz val="11"/>
        <color rgb="FF000000"/>
        <rFont val="Arial"/>
        <family val="2"/>
      </rPr>
      <t>EA</t>
    </r>
    <r>
      <rPr>
        <sz val="11"/>
        <color rgb="FF000000"/>
        <rFont val="Arial"/>
        <family val="2"/>
      </rPr>
      <t xml:space="preserve"> = Each</t>
    </r>
  </si>
  <si>
    <r>
      <rPr>
        <b/>
        <sz val="11"/>
        <color rgb="FF000000"/>
        <rFont val="Arial"/>
        <family val="2"/>
      </rPr>
      <t xml:space="preserve">CY </t>
    </r>
    <r>
      <rPr>
        <sz val="11"/>
        <color rgb="FF000000"/>
        <rFont val="Arial"/>
        <family val="2"/>
      </rPr>
      <t>= Cubic Yard</t>
    </r>
  </si>
  <si>
    <r>
      <rPr>
        <b/>
        <sz val="11"/>
        <color rgb="FF000000"/>
        <rFont val="Arial"/>
        <family val="2"/>
      </rPr>
      <t xml:space="preserve">SY </t>
    </r>
    <r>
      <rPr>
        <sz val="11"/>
        <color rgb="FF000000"/>
        <rFont val="Arial"/>
        <family val="2"/>
      </rPr>
      <t>= Square Yard</t>
    </r>
  </si>
  <si>
    <r>
      <rPr>
        <b/>
        <sz val="11"/>
        <color rgb="FF000000"/>
        <rFont val="Arial"/>
        <family val="2"/>
      </rPr>
      <t>LOC</t>
    </r>
    <r>
      <rPr>
        <sz val="11"/>
        <color rgb="FF000000"/>
        <rFont val="Arial"/>
        <family val="2"/>
      </rPr>
      <t xml:space="preserve"> = Location</t>
    </r>
  </si>
  <si>
    <r>
      <rPr>
        <b/>
        <sz val="11"/>
        <color rgb="FF000000"/>
        <rFont val="Arial"/>
        <family val="2"/>
      </rPr>
      <t xml:space="preserve">LS </t>
    </r>
    <r>
      <rPr>
        <sz val="11"/>
        <color rgb="FF000000"/>
        <rFont val="Arial"/>
        <family val="2"/>
      </rPr>
      <t>= Lum Sum</t>
    </r>
  </si>
  <si>
    <r>
      <rPr>
        <b/>
        <sz val="11"/>
        <color rgb="FF000000"/>
        <rFont val="Arial"/>
        <family val="2"/>
      </rPr>
      <t>LBS</t>
    </r>
    <r>
      <rPr>
        <sz val="11"/>
        <color rgb="FF000000"/>
        <rFont val="Arial"/>
        <family val="2"/>
      </rPr>
      <t xml:space="preserve"> = Pound </t>
    </r>
  </si>
  <si>
    <t>SF</t>
  </si>
  <si>
    <t>Building GSF</t>
  </si>
  <si>
    <t>TOTAL DIV. COST (PER SF)</t>
  </si>
  <si>
    <t>EA</t>
  </si>
  <si>
    <t>LF</t>
  </si>
  <si>
    <t>01. GENERAL REQUIREMENTS</t>
  </si>
  <si>
    <t>12. FURNISHES</t>
  </si>
  <si>
    <r>
      <rPr>
        <b/>
        <u/>
        <sz val="11"/>
        <color rgb="FFFF0000"/>
        <rFont val="Arial"/>
        <family val="2"/>
      </rPr>
      <t>General Notes: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The prices used while preparing the estimate were taken from RSMeans online i.e. the standard pricing. So, it is preferred to review the prices.</t>
    </r>
  </si>
  <si>
    <t>Millwork</t>
  </si>
  <si>
    <t>Countertop &amp; Backsplash</t>
  </si>
  <si>
    <t xml:space="preserve"> </t>
  </si>
  <si>
    <t>1'-6" x 1'-8" Open Hanging Shelf</t>
  </si>
  <si>
    <t>1'-6" x 3'-4" Open Hanging Shelf</t>
  </si>
  <si>
    <t>2'-4" Wide x 1'-10" High x 2'-0" Deep Double Leaf Plastic Laminate Base Cabinet w/ Melamine Adjustable Shelf over 3/4" Plywood Substrate</t>
  </si>
  <si>
    <t>3'-0" Wide x 1'-11" High x 2'-0" Deep Double Leaf Plastic Laminate Upper Cabinet w/ Melamine Adjustable Shelf over 3/4" Plywood Substrate</t>
  </si>
  <si>
    <t>3'-0" Wide x 2'-7" High x 2'-0" Deep Double Leaf Plastic Laminate Base Cabinet over 3/4" Plywood Substrate</t>
  </si>
  <si>
    <t>1'-2" Wide x 1'-10" High x 2'-0" Deep Single Leaf Plastic Laminate Base Cabinet w/ Melamine Adjustable Shelf over 3/4" Plywood Substrate</t>
  </si>
  <si>
    <t>1'-0" Wide x 6" High x 2'-0" Deep Melamine Drawer over 3/4" Plywood Substrate</t>
  </si>
  <si>
    <t>2'-0" Dia x 3'-0" High Wood KEG Barrels 
OFCI</t>
  </si>
  <si>
    <t>1'-1" Deep Melamine Fixed Shelves over 3/4" Plywood Substrate</t>
  </si>
  <si>
    <t>Recessed Drink Rail @ Exterior Countertop</t>
  </si>
  <si>
    <t>12" Deep Wood Shelving w/ Support Brackets</t>
  </si>
  <si>
    <t xml:space="preserve">3 1/2" Wood Fascia Panel @ Millwork </t>
  </si>
  <si>
    <t>Plastic Laminate Panels</t>
  </si>
  <si>
    <t>Plastic Laminate Finish @ Seating</t>
  </si>
  <si>
    <t xml:space="preserve">Fabric Wrapped Removable Back Cushion w/ Medium Density Foam </t>
  </si>
  <si>
    <t xml:space="preserve">Fabric Wrapped Permanent Seat Cushion w/ High Density Foam </t>
  </si>
  <si>
    <t>Window Treatment</t>
  </si>
  <si>
    <t>BWT-1: Blackout Window Tint
 - Mfr: 3M Blackout Film
 - Style:  Architecture Al Glazing Film
 - Color:  Black
 - Size: Roll</t>
  </si>
  <si>
    <t xml:space="preserve">4" High Quartz Backsplash </t>
  </si>
  <si>
    <t>QZ-1: Quartz Countertop @ Exterior Countertop
 - Mfr: Wilsonart 
 - Style:  Grey Lake Q1009
 - Color:  Matte</t>
  </si>
  <si>
    <t>FURNISHES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</si>
</sst>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* #,##0.00_);_(&quot;$&quot;* \(#,##0.00\);_(&quot;$&quot;* &quot;-&quot;??_);_(@_)"/>
    <numFmt numFmtId="165" formatCode="&quot;$&quot;#,##0"/>
    <numFmt numFmtId="166" formatCode="_(&quot;$&quot;* #,##0_);_(&quot;$&quot;* \(#,##0\);_(&quot;$&quot;* &quot;-&quot;??_);_(@_)"/>
    <numFmt numFmtId="167" formatCode="[$$-409]#,##0"/>
    <numFmt numFmtId="168" formatCode="&quot;$&quot;#,##0.00"/>
  </numFmts>
  <fonts count="26" x14ac:knownFonts="1">
    <font>
      <sz val="11"/>
      <color theme="1"/>
      <name val="Tw Cen MT"/>
      <family val="2"/>
      <scheme val="minor"/>
    </font>
    <font>
      <b/>
      <sz val="12"/>
      <color theme="1"/>
      <name val="Tw Cen MT"/>
      <family val="2"/>
      <scheme val="minor"/>
    </font>
    <font>
      <sz val="11"/>
      <name val="Arial"/>
      <family val="2"/>
    </font>
    <font>
      <sz val="11"/>
      <color theme="1"/>
      <name val="Tw Cen MT"/>
      <family val="2"/>
      <scheme val="minor"/>
    </font>
    <font>
      <sz val="12"/>
      <name val="Arial"/>
      <family val="2"/>
    </font>
    <font>
      <sz val="11"/>
      <color theme="0"/>
      <name val="Tw Cen MT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rgb="FF0000B3"/>
      <name val="Arial"/>
      <family val="2"/>
    </font>
    <font>
      <b/>
      <sz val="11"/>
      <color rgb="FF00B050"/>
      <name val="Arial"/>
      <family val="2"/>
    </font>
    <font>
      <u/>
      <sz val="11"/>
      <color theme="1"/>
      <name val="Arial"/>
      <family val="2"/>
    </font>
    <font>
      <b/>
      <sz val="16"/>
      <color theme="1"/>
      <name val="Tw Cen MT"/>
      <family val="2"/>
      <scheme val="minor"/>
    </font>
    <font>
      <sz val="16"/>
      <color theme="1"/>
      <name val="Tw Cen MT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rgb="FFFF0000"/>
      <name val="Arial"/>
      <family val="2"/>
    </font>
    <font>
      <b/>
      <u/>
      <sz val="11"/>
      <color theme="1"/>
      <name val="Arial"/>
      <family val="2"/>
    </font>
    <font>
      <b/>
      <u/>
      <sz val="11"/>
      <color rgb="FFFF0000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0"/>
      <name val="Arial"/>
      <family val="2"/>
    </font>
    <font>
      <b/>
      <sz val="11"/>
      <color rgb="FF067BC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rgb="FF3366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67BC2"/>
        <bgColor indexed="64"/>
      </patternFill>
    </fill>
    <fill>
      <patternFill patternType="solid">
        <fgColor rgb="FFCF984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" fontId="1" fillId="3" borderId="1">
      <alignment horizontal="center" vertical="center"/>
    </xf>
    <xf numFmtId="164" fontId="3" fillId="0" borderId="0" applyFont="0" applyFill="0" applyBorder="0" applyAlignment="0" applyProtection="0"/>
    <xf numFmtId="0" fontId="5" fillId="4" borderId="0" applyNumberFormat="0" applyBorder="0" applyAlignment="0" applyProtection="0"/>
    <xf numFmtId="39" fontId="4" fillId="0" borderId="18">
      <alignment horizontal="left" vertical="center" wrapText="1"/>
    </xf>
    <xf numFmtId="39" fontId="4" fillId="0" borderId="18">
      <alignment horizontal="left" vertical="center" wrapText="1"/>
    </xf>
  </cellStyleXfs>
  <cellXfs count="140">
    <xf numFmtId="0" fontId="0" fillId="0" borderId="0" xfId="0"/>
    <xf numFmtId="0" fontId="2" fillId="3" borderId="3" xfId="0" applyFont="1" applyFill="1" applyBorder="1" applyAlignment="1">
      <alignment horizontal="centerContinuous" vertical="center"/>
    </xf>
    <xf numFmtId="0" fontId="2" fillId="3" borderId="2" xfId="0" applyFont="1" applyFill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9" fillId="3" borderId="9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3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3" borderId="6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 vertical="center"/>
    </xf>
    <xf numFmtId="165" fontId="7" fillId="0" borderId="9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 wrapText="1"/>
    </xf>
    <xf numFmtId="39" fontId="2" fillId="0" borderId="1" xfId="4" applyFont="1" applyBorder="1" applyAlignment="1">
      <alignment horizontal="center" vertical="center" wrapText="1"/>
    </xf>
    <xf numFmtId="39" fontId="9" fillId="0" borderId="1" xfId="0" applyNumberFormat="1" applyFont="1" applyBorder="1" applyAlignment="1">
      <alignment horizontal="center" vertical="center" wrapText="1"/>
    </xf>
    <xf numFmtId="39" fontId="2" fillId="0" borderId="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Continuous" vertical="center"/>
    </xf>
    <xf numFmtId="0" fontId="2" fillId="0" borderId="16" xfId="0" applyFont="1" applyBorder="1" applyAlignment="1">
      <alignment horizontal="centerContinuous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Continuous" vertical="center"/>
    </xf>
    <xf numFmtId="0" fontId="7" fillId="3" borderId="0" xfId="0" applyFont="1" applyFill="1"/>
    <xf numFmtId="0" fontId="7" fillId="5" borderId="0" xfId="0" applyFont="1" applyFill="1"/>
    <xf numFmtId="0" fontId="7" fillId="6" borderId="0" xfId="0" applyFont="1" applyFill="1"/>
    <xf numFmtId="0" fontId="7" fillId="7" borderId="0" xfId="0" applyFont="1" applyFill="1"/>
    <xf numFmtId="166" fontId="7" fillId="3" borderId="0" xfId="0" applyNumberFormat="1" applyFont="1" applyFill="1"/>
    <xf numFmtId="0" fontId="7" fillId="0" borderId="2" xfId="0" applyFont="1" applyBorder="1" applyAlignment="1">
      <alignment vertical="center"/>
    </xf>
    <xf numFmtId="0" fontId="8" fillId="7" borderId="6" xfId="0" applyFont="1" applyFill="1" applyBorder="1" applyAlignment="1">
      <alignment horizontal="center" vertical="center"/>
    </xf>
    <xf numFmtId="9" fontId="8" fillId="7" borderId="0" xfId="0" applyNumberFormat="1" applyFont="1" applyFill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168" fontId="7" fillId="3" borderId="0" xfId="0" applyNumberFormat="1" applyFont="1" applyFill="1" applyAlignment="1">
      <alignment vertical="center"/>
    </xf>
    <xf numFmtId="168" fontId="2" fillId="0" borderId="9" xfId="0" applyNumberFormat="1" applyFont="1" applyBorder="1" applyAlignment="1">
      <alignment horizontal="centerContinuous" vertical="center"/>
    </xf>
    <xf numFmtId="39" fontId="2" fillId="0" borderId="1" xfId="4" applyFont="1" applyBorder="1">
      <alignment horizontal="left" vertical="center" wrapText="1"/>
    </xf>
    <xf numFmtId="0" fontId="2" fillId="8" borderId="1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left"/>
    </xf>
    <xf numFmtId="166" fontId="8" fillId="3" borderId="9" xfId="0" applyNumberFormat="1" applyFont="1" applyFill="1" applyBorder="1" applyAlignment="1">
      <alignment horizontal="right"/>
    </xf>
    <xf numFmtId="0" fontId="9" fillId="8" borderId="10" xfId="0" applyFont="1" applyFill="1" applyBorder="1" applyAlignment="1">
      <alignment horizontal="center" vertical="center"/>
    </xf>
    <xf numFmtId="166" fontId="7" fillId="7" borderId="9" xfId="2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7" fillId="3" borderId="6" xfId="0" applyFont="1" applyFill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Continuous" vertical="center"/>
    </xf>
    <xf numFmtId="0" fontId="18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6" xfId="0" applyFont="1" applyBorder="1"/>
    <xf numFmtId="0" fontId="22" fillId="0" borderId="0" xfId="0" applyFont="1"/>
    <xf numFmtId="0" fontId="22" fillId="0" borderId="0" xfId="0" applyFont="1" applyAlignment="1">
      <alignment horizontal="left" vertical="center"/>
    </xf>
    <xf numFmtId="0" fontId="7" fillId="0" borderId="0" xfId="0" applyFont="1"/>
    <xf numFmtId="0" fontId="23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right" vertical="center"/>
    </xf>
    <xf numFmtId="39" fontId="9" fillId="7" borderId="1" xfId="4" applyFont="1" applyFill="1" applyBorder="1">
      <alignment horizontal="left" vertical="center" wrapText="1"/>
    </xf>
    <xf numFmtId="166" fontId="7" fillId="8" borderId="1" xfId="0" applyNumberFormat="1" applyFont="1" applyFill="1" applyBorder="1"/>
    <xf numFmtId="0" fontId="11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166" fontId="8" fillId="3" borderId="0" xfId="0" applyNumberFormat="1" applyFont="1" applyFill="1" applyAlignment="1">
      <alignment horizontal="right"/>
    </xf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68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9" fillId="8" borderId="23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vertical="center"/>
    </xf>
    <xf numFmtId="166" fontId="7" fillId="8" borderId="24" xfId="0" applyNumberFormat="1" applyFont="1" applyFill="1" applyBorder="1"/>
    <xf numFmtId="164" fontId="7" fillId="8" borderId="25" xfId="0" applyNumberFormat="1" applyFont="1" applyFill="1" applyBorder="1"/>
    <xf numFmtId="164" fontId="7" fillId="8" borderId="11" xfId="0" applyNumberFormat="1" applyFont="1" applyFill="1" applyBorder="1"/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29" xfId="0" applyFont="1" applyBorder="1" applyAlignment="1">
      <alignment horizontal="center" vertical="center" wrapText="1"/>
    </xf>
    <xf numFmtId="0" fontId="10" fillId="9" borderId="10" xfId="3" applyFont="1" applyFill="1" applyBorder="1" applyAlignment="1">
      <alignment horizontal="center" vertical="center"/>
    </xf>
    <xf numFmtId="0" fontId="10" fillId="9" borderId="1" xfId="3" applyFont="1" applyFill="1" applyBorder="1" applyAlignment="1">
      <alignment horizontal="center" vertical="center" wrapText="1"/>
    </xf>
    <xf numFmtId="0" fontId="10" fillId="9" borderId="1" xfId="3" applyFont="1" applyFill="1" applyBorder="1" applyAlignment="1">
      <alignment horizontal="center" vertical="center"/>
    </xf>
    <xf numFmtId="0" fontId="10" fillId="9" borderId="1" xfId="3" applyNumberFormat="1" applyFont="1" applyFill="1" applyBorder="1" applyAlignment="1">
      <alignment horizontal="center" vertical="center"/>
    </xf>
    <xf numFmtId="2" fontId="10" fillId="9" borderId="1" xfId="3" applyNumberFormat="1" applyFont="1" applyFill="1" applyBorder="1" applyAlignment="1">
      <alignment horizontal="center" vertical="center" wrapText="1"/>
    </xf>
    <xf numFmtId="0" fontId="10" fillId="9" borderId="1" xfId="3" applyNumberFormat="1" applyFont="1" applyFill="1" applyBorder="1" applyAlignment="1">
      <alignment horizontal="center" vertical="center" wrapText="1"/>
    </xf>
    <xf numFmtId="0" fontId="10" fillId="9" borderId="11" xfId="3" applyFont="1" applyFill="1" applyBorder="1" applyAlignment="1">
      <alignment horizontal="center" vertical="center" wrapText="1"/>
    </xf>
    <xf numFmtId="0" fontId="12" fillId="9" borderId="6" xfId="0" applyFont="1" applyFill="1" applyBorder="1" applyAlignment="1">
      <alignment vertical="center"/>
    </xf>
    <xf numFmtId="0" fontId="10" fillId="9" borderId="22" xfId="0" applyFont="1" applyFill="1" applyBorder="1" applyAlignment="1">
      <alignment vertical="center"/>
    </xf>
    <xf numFmtId="0" fontId="10" fillId="10" borderId="6" xfId="0" applyFont="1" applyFill="1" applyBorder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left" vertical="center"/>
    </xf>
    <xf numFmtId="0" fontId="10" fillId="10" borderId="0" xfId="0" applyFont="1" applyFill="1" applyAlignment="1">
      <alignment vertical="center"/>
    </xf>
    <xf numFmtId="2" fontId="10" fillId="10" borderId="0" xfId="0" applyNumberFormat="1" applyFont="1" applyFill="1" applyAlignment="1">
      <alignment vertical="center"/>
    </xf>
    <xf numFmtId="168" fontId="10" fillId="10" borderId="9" xfId="0" applyNumberFormat="1" applyFont="1" applyFill="1" applyBorder="1" applyAlignment="1">
      <alignment vertical="center"/>
    </xf>
    <xf numFmtId="0" fontId="25" fillId="3" borderId="0" xfId="0" applyFont="1" applyFill="1" applyAlignment="1">
      <alignment horizontal="left" vertical="center"/>
    </xf>
    <xf numFmtId="9" fontId="24" fillId="9" borderId="5" xfId="0" applyNumberFormat="1" applyFont="1" applyFill="1" applyBorder="1" applyAlignment="1">
      <alignment horizontal="center" vertical="center"/>
    </xf>
    <xf numFmtId="167" fontId="24" fillId="9" borderId="13" xfId="0" applyNumberFormat="1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165" fontId="10" fillId="10" borderId="11" xfId="0" applyNumberFormat="1" applyFont="1" applyFill="1" applyBorder="1" applyAlignment="1">
      <alignment horizontal="center" vertical="center"/>
    </xf>
    <xf numFmtId="0" fontId="10" fillId="9" borderId="26" xfId="0" applyFont="1" applyFill="1" applyBorder="1" applyAlignment="1">
      <alignment horizontal="center" vertical="center"/>
    </xf>
    <xf numFmtId="0" fontId="10" fillId="9" borderId="27" xfId="0" applyFont="1" applyFill="1" applyBorder="1" applyAlignment="1">
      <alignment horizontal="center" vertical="center" wrapText="1"/>
    </xf>
    <xf numFmtId="0" fontId="10" fillId="9" borderId="28" xfId="0" applyFont="1" applyFill="1" applyBorder="1" applyAlignment="1">
      <alignment horizontal="center" vertical="center" wrapText="1"/>
    </xf>
    <xf numFmtId="166" fontId="10" fillId="10" borderId="21" xfId="2" applyNumberFormat="1" applyFont="1" applyFill="1" applyBorder="1" applyAlignment="1">
      <alignment vertical="center"/>
    </xf>
    <xf numFmtId="166" fontId="10" fillId="10" borderId="7" xfId="2" applyNumberFormat="1" applyFont="1" applyFill="1" applyBorder="1" applyAlignment="1">
      <alignment vertical="center"/>
    </xf>
    <xf numFmtId="0" fontId="10" fillId="10" borderId="21" xfId="0" applyFont="1" applyFill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0" fontId="10" fillId="10" borderId="19" xfId="0" applyFont="1" applyFill="1" applyBorder="1" applyAlignment="1">
      <alignment horizontal="center" vertical="center"/>
    </xf>
    <xf numFmtId="0" fontId="10" fillId="10" borderId="2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167" fontId="17" fillId="0" borderId="0" xfId="0" applyNumberFormat="1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10" borderId="14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24" fillId="9" borderId="14" xfId="0" applyFont="1" applyFill="1" applyBorder="1" applyAlignment="1">
      <alignment horizontal="right" vertical="center"/>
    </xf>
    <xf numFmtId="0" fontId="24" fillId="9" borderId="4" xfId="0" applyFont="1" applyFill="1" applyBorder="1" applyAlignment="1">
      <alignment horizontal="right" vertical="center"/>
    </xf>
    <xf numFmtId="0" fontId="10" fillId="9" borderId="4" xfId="0" applyFont="1" applyFill="1" applyBorder="1" applyAlignment="1">
      <alignment horizontal="center" vertical="center"/>
    </xf>
  </cellXfs>
  <cellStyles count="6">
    <cellStyle name="Accent1" xfId="3" builtinId="29"/>
    <cellStyle name="Currency 2" xfId="2"/>
    <cellStyle name="Normal" xfId="0" builtinId="0"/>
    <cellStyle name="Style 1" xfId="1"/>
    <cellStyle name="takeoffs body style" xfId="4"/>
    <cellStyle name="takeoffs body style 2" xfId="5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5B9BD5"/>
      <color rgb="FF067BC2"/>
      <color rgb="FFCF9843"/>
      <color rgb="FF3366CC"/>
      <color rgb="FF4F81BD"/>
      <color rgb="FF0000B3"/>
      <color rgb="FF00B300"/>
      <color rgb="FFEFF5F5"/>
      <color rgb="FF3399FF"/>
      <color rgb="FFA744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ln>
                  <a:noFill/>
                </a:ln>
                <a:solidFill>
                  <a:schemeClr val="lt1"/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DIVISION COST COMPARISON</a:t>
            </a:r>
            <a:endParaRPr lang="en-US"/>
          </a:p>
        </c:rich>
      </c:tx>
      <c:layout/>
      <c:overlay val="0"/>
      <c:spPr>
        <a:solidFill>
          <a:srgbClr val="067BC2"/>
        </a:solidFill>
        <a:ln w="19050" cap="flat" cmpd="sng" algn="ctr">
          <a:solidFill>
            <a:schemeClr val="lt1"/>
          </a:solidFill>
          <a:prstDash val="solid"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solidFill>
            <a:schemeClr val="bg1"/>
          </a:solidFill>
        </a:ln>
        <a:effectLst/>
        <a:sp3d>
          <a:contourClr>
            <a:schemeClr val="bg1"/>
          </a:contourClr>
        </a:sp3d>
      </c:spPr>
    </c:sideWall>
    <c:backWall>
      <c:thickness val="0"/>
      <c:spPr>
        <a:noFill/>
        <a:ln>
          <a:solidFill>
            <a:schemeClr val="tx1"/>
          </a:solidFill>
        </a:ln>
        <a:effectLst/>
        <a:sp3d>
          <a:contourClr>
            <a:schemeClr val="tx1"/>
          </a:contourClr>
        </a:sp3d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5B9BD5"/>
            </a:solidFill>
            <a:ln>
              <a:noFill/>
            </a:ln>
            <a:effectLst/>
            <a:sp3d/>
          </c:spPr>
          <c:invertIfNegative val="0"/>
          <c:cat>
            <c:strRef>
              <c:f>SUMMARY!$B$11:$B$12</c:f>
              <c:strCache>
                <c:ptCount val="2"/>
                <c:pt idx="0">
                  <c:v>General Requirements</c:v>
                </c:pt>
                <c:pt idx="1">
                  <c:v>Furnishes</c:v>
                </c:pt>
              </c:strCache>
            </c:strRef>
          </c:cat>
          <c:val>
            <c:numRef>
              <c:f>SUMMARY!$C$11:$C$12</c:f>
              <c:numCache>
                <c:formatCode>_("$"* #,##0_);_("$"* \(#,##0\);_("$"* "-"??_);_(@_)</c:formatCode>
                <c:ptCount val="2"/>
                <c:pt idx="0">
                  <c:v>7892.8635900714489</c:v>
                </c:pt>
                <c:pt idx="1">
                  <c:v>57070.597180559998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87-48D4-A601-184AA996D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4133888"/>
        <c:axId val="204135424"/>
        <c:axId val="0"/>
      </c:bar3DChart>
      <c:catAx>
        <c:axId val="204133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solidFill>
              <a:schemeClr val="bg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135424"/>
        <c:crosses val="autoZero"/>
        <c:auto val="1"/>
        <c:lblAlgn val="ctr"/>
        <c:lblOffset val="100"/>
        <c:noMultiLvlLbl val="0"/>
      </c:catAx>
      <c:valAx>
        <c:axId val="204135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133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1270000" dist="50800" dir="5400000" algn="ctr" rotWithShape="0">
        <a:srgbClr val="000000">
          <a:alpha val="0"/>
        </a:srgbClr>
      </a:outerShdw>
    </a:effectLst>
  </c:spPr>
  <c:txPr>
    <a:bodyPr anchor="ctr" anchorCtr="0"/>
    <a:lstStyle/>
    <a:p>
      <a:pPr>
        <a:defRPr>
          <a:ln>
            <a:noFill/>
          </a:ln>
          <a:solidFill>
            <a:schemeClr val="tx1">
              <a:alpha val="83000"/>
            </a:schemeClr>
          </a:solidFill>
          <a:effectLst>
            <a:glow rad="114300">
              <a:schemeClr val="accent1">
                <a:alpha val="29000"/>
              </a:schemeClr>
            </a:glow>
            <a:outerShdw blurRad="50800" dist="1536700" dir="21540000" algn="ctr" rotWithShape="0">
              <a:srgbClr val="000000">
                <a:alpha val="0"/>
              </a:srgbClr>
            </a:outerShdw>
          </a:effectLst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430653</xdr:colOff>
      <xdr:row>0</xdr:row>
      <xdr:rowOff>103281</xdr:rowOff>
    </xdr:from>
    <xdr:to>
      <xdr:col>3</xdr:col>
      <xdr:colOff>1117820</xdr:colOff>
      <xdr:row>8</xdr:row>
      <xdr:rowOff>3975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1F5C46B-2265-4302-ACE9-A0A447B75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2189" y="103281"/>
          <a:ext cx="2034274" cy="1315837"/>
        </a:xfrm>
        <a:prstGeom prst="rect">
          <a:avLst/>
        </a:prstGeom>
        <a:effectLst>
          <a:outerShdw blurRad="1270000" dist="50800" dir="5400000" sx="200000" sy="200000" algn="ctr" rotWithShape="0">
            <a:srgbClr val="000000">
              <a:alpha val="0"/>
            </a:srgbClr>
          </a:outerShdw>
        </a:effectLst>
      </xdr:spPr>
    </xdr:pic>
    <xdr:clientData/>
  </xdr:twoCellAnchor>
  <xdr:twoCellAnchor>
    <xdr:from>
      <xdr:col>4</xdr:col>
      <xdr:colOff>13607</xdr:colOff>
      <xdr:row>0</xdr:row>
      <xdr:rowOff>13608</xdr:rowOff>
    </xdr:from>
    <xdr:to>
      <xdr:col>11</xdr:col>
      <xdr:colOff>675527</xdr:colOff>
      <xdr:row>17</xdr:row>
      <xdr:rowOff>142502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FB37C3D2-643E-CFBC-D5BA-09F97A94D1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430653</xdr:colOff>
      <xdr:row>0</xdr:row>
      <xdr:rowOff>103281</xdr:rowOff>
    </xdr:from>
    <xdr:to>
      <xdr:col>3</xdr:col>
      <xdr:colOff>1081089</xdr:colOff>
      <xdr:row>7</xdr:row>
      <xdr:rowOff>155236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783" t="24050" r="8740" b="16138"/>
        <a:stretch>
          <a:fillRect/>
        </a:stretch>
      </xdr:blipFill>
      <xdr:spPr>
        <a:xfrm>
          <a:off x="5642189" y="103281"/>
          <a:ext cx="1997543" cy="13854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457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14</xdr:col>
      <xdr:colOff>108857</xdr:colOff>
      <xdr:row>1</xdr:row>
      <xdr:rowOff>50613</xdr:rowOff>
    </xdr:from>
    <xdr:to>
      <xdr:col>15</xdr:col>
      <xdr:colOff>1086763</xdr:colOff>
      <xdr:row>8</xdr:row>
      <xdr:rowOff>141530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60286" y="50613"/>
          <a:ext cx="2012049" cy="1478846"/>
        </a:xfrm>
        <a:prstGeom prst="rect">
          <a:avLst/>
        </a:prstGeom>
      </xdr:spPr>
    </xdr:pic>
    <xdr:clientData/>
  </xdr:twoCellAnchor>
  <xdr:twoCellAnchor editAs="oneCell">
    <xdr:from>
      <xdr:col>14</xdr:col>
      <xdr:colOff>54429</xdr:colOff>
      <xdr:row>1</xdr:row>
      <xdr:rowOff>50613</xdr:rowOff>
    </xdr:from>
    <xdr:to>
      <xdr:col>15</xdr:col>
      <xdr:colOff>1017829</xdr:colOff>
      <xdr:row>8</xdr:row>
      <xdr:rowOff>61747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783" t="24050" r="8740" b="16138"/>
        <a:stretch>
          <a:fillRect/>
        </a:stretch>
      </xdr:blipFill>
      <xdr:spPr>
        <a:xfrm>
          <a:off x="14260286" y="50613"/>
          <a:ext cx="1997543" cy="1385455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egral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Integral">
      <a:majorFont>
        <a:latin typeface="Tw Cen MT Condensed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66CC"/>
    <pageSetUpPr fitToPage="1"/>
  </sheetPr>
  <dimension ref="A1:D18"/>
  <sheetViews>
    <sheetView view="pageBreakPreview" zoomScale="70" zoomScaleNormal="100" zoomScaleSheetLayoutView="70" workbookViewId="0">
      <pane ySplit="10" topLeftCell="A11" activePane="bottomLeft" state="frozen"/>
      <selection activeCell="N7" sqref="N7"/>
      <selection pane="bottomLeft" activeCell="B3" sqref="B3"/>
    </sheetView>
  </sheetViews>
  <sheetFormatPr defaultColWidth="9" defaultRowHeight="14.25" x14ac:dyDescent="0.2"/>
  <cols>
    <col min="1" max="1" width="23.625" style="38" customWidth="1"/>
    <col min="2" max="2" width="44.875" style="38" customWidth="1"/>
    <col min="3" max="4" width="17.625" style="42" customWidth="1"/>
    <col min="5" max="16384" width="9" style="38"/>
  </cols>
  <sheetData>
    <row r="1" spans="1:4" ht="15" x14ac:dyDescent="0.2">
      <c r="A1" s="57"/>
      <c r="B1" s="43"/>
      <c r="C1" s="82"/>
      <c r="D1" s="58"/>
    </row>
    <row r="2" spans="1:4" ht="15" x14ac:dyDescent="0.2">
      <c r="A2" s="20" t="s">
        <v>40</v>
      </c>
      <c r="B2" s="19"/>
      <c r="C2" s="83"/>
      <c r="D2" s="10"/>
    </row>
    <row r="3" spans="1:4" ht="15" x14ac:dyDescent="0.2">
      <c r="A3" s="20"/>
      <c r="B3" s="19"/>
      <c r="C3" s="83"/>
      <c r="D3" s="10"/>
    </row>
    <row r="4" spans="1:4" ht="15" x14ac:dyDescent="0.2">
      <c r="A4" s="20" t="s">
        <v>32</v>
      </c>
      <c r="B4" s="19"/>
      <c r="C4" s="83"/>
      <c r="D4" s="10"/>
    </row>
    <row r="5" spans="1:4" ht="15" x14ac:dyDescent="0.2">
      <c r="A5" s="20"/>
      <c r="B5" s="19"/>
      <c r="C5" s="83"/>
      <c r="D5" s="10"/>
    </row>
    <row r="6" spans="1:4" ht="15" x14ac:dyDescent="0.2">
      <c r="A6" s="20" t="s">
        <v>31</v>
      </c>
      <c r="B6" s="19">
        <v>1</v>
      </c>
      <c r="C6" s="83"/>
      <c r="D6" s="10"/>
    </row>
    <row r="7" spans="1:4" ht="15" x14ac:dyDescent="0.2">
      <c r="A7" s="20"/>
      <c r="B7" s="85"/>
      <c r="C7" s="83"/>
      <c r="D7" s="10"/>
    </row>
    <row r="8" spans="1:4" ht="15" x14ac:dyDescent="0.2">
      <c r="A8" s="20" t="s">
        <v>54</v>
      </c>
      <c r="B8" s="19">
        <v>2500</v>
      </c>
      <c r="C8" s="83"/>
      <c r="D8" s="10"/>
    </row>
    <row r="9" spans="1:4" ht="15.75" thickBot="1" x14ac:dyDescent="0.3">
      <c r="A9" s="20"/>
      <c r="B9" s="59"/>
      <c r="C9" s="84"/>
      <c r="D9" s="60"/>
    </row>
    <row r="10" spans="1:4" s="39" customFormat="1" ht="30.75" thickBot="1" x14ac:dyDescent="0.25">
      <c r="A10" s="119" t="s">
        <v>15</v>
      </c>
      <c r="B10" s="120" t="s">
        <v>0</v>
      </c>
      <c r="C10" s="120" t="s">
        <v>16</v>
      </c>
      <c r="D10" s="121" t="s">
        <v>55</v>
      </c>
    </row>
    <row r="11" spans="1:4" ht="15" x14ac:dyDescent="0.2">
      <c r="A11" s="91">
        <v>1000</v>
      </c>
      <c r="B11" s="92" t="s">
        <v>17</v>
      </c>
      <c r="C11" s="93">
        <f>'MATERIAL TAKE-OFF'!P19</f>
        <v>7892.8635900714489</v>
      </c>
      <c r="D11" s="94">
        <f>C11/$B$8</f>
        <v>3.1571454360285798</v>
      </c>
    </row>
    <row r="12" spans="1:4" ht="15" x14ac:dyDescent="0.2">
      <c r="A12" s="61">
        <v>12000</v>
      </c>
      <c r="B12" s="56" t="s">
        <v>41</v>
      </c>
      <c r="C12" s="81">
        <f>'MATERIAL TAKE-OFF'!P44</f>
        <v>57070.597180559998</v>
      </c>
      <c r="D12" s="95">
        <f t="shared" ref="D12" si="0">C12/$B$8</f>
        <v>22.828238872223999</v>
      </c>
    </row>
    <row r="13" spans="1:4" s="40" customFormat="1" ht="15.75" thickBot="1" x14ac:dyDescent="0.25">
      <c r="A13" s="124" t="s">
        <v>12</v>
      </c>
      <c r="B13" s="124"/>
      <c r="C13" s="122">
        <f>SUM(C11:C12)</f>
        <v>64963.460770631449</v>
      </c>
      <c r="D13" s="122">
        <f>SUM(D11:D12)</f>
        <v>25.985384308252577</v>
      </c>
    </row>
    <row r="14" spans="1:4" ht="15.75" thickBot="1" x14ac:dyDescent="0.25">
      <c r="A14" s="125"/>
      <c r="B14" s="125"/>
      <c r="C14" s="125"/>
      <c r="D14" s="125"/>
    </row>
    <row r="15" spans="1:4" s="41" customFormat="1" ht="15" x14ac:dyDescent="0.2">
      <c r="A15" s="44" t="s">
        <v>20</v>
      </c>
      <c r="B15" s="45">
        <v>0.2</v>
      </c>
      <c r="C15" s="62">
        <f>$C$13*B15</f>
        <v>12992.692154126291</v>
      </c>
      <c r="D15" s="62">
        <f>$D$13*B15</f>
        <v>5.1970768616505154</v>
      </c>
    </row>
    <row r="16" spans="1:4" s="41" customFormat="1" ht="15" x14ac:dyDescent="0.2">
      <c r="A16" s="44" t="s">
        <v>5</v>
      </c>
      <c r="B16" s="45">
        <v>0.03</v>
      </c>
      <c r="C16" s="62">
        <f>$C$13*B16</f>
        <v>1948.9038231189434</v>
      </c>
      <c r="D16" s="62">
        <f>$D$13*B16</f>
        <v>0.77956152924757727</v>
      </c>
    </row>
    <row r="17" spans="1:4" s="41" customFormat="1" ht="15.75" thickBot="1" x14ac:dyDescent="0.25">
      <c r="A17" s="44" t="s">
        <v>18</v>
      </c>
      <c r="B17" s="45">
        <v>0.05</v>
      </c>
      <c r="C17" s="62">
        <f>$C$13*B17</f>
        <v>3248.1730385315727</v>
      </c>
      <c r="D17" s="62">
        <f>$D$13*B17</f>
        <v>1.2992692154126289</v>
      </c>
    </row>
    <row r="18" spans="1:4" s="39" customFormat="1" ht="15.75" thickBot="1" x14ac:dyDescent="0.25">
      <c r="A18" s="126" t="s">
        <v>30</v>
      </c>
      <c r="B18" s="127"/>
      <c r="C18" s="123">
        <f>SUM(C13:C17)</f>
        <v>83153.229786408265</v>
      </c>
      <c r="D18" s="123">
        <f>SUM(D13:D17)</f>
        <v>33.261291914563301</v>
      </c>
    </row>
  </sheetData>
  <mergeCells count="3">
    <mergeCell ref="A13:B13"/>
    <mergeCell ref="A14:D14"/>
    <mergeCell ref="A18:B18"/>
  </mergeCells>
  <conditionalFormatting sqref="B6 B8">
    <cfRule type="expression" dxfId="1" priority="2">
      <formula>ISBLANK(B6)</formula>
    </cfRule>
  </conditionalFormatting>
  <pageMargins left="0" right="0" top="1" bottom="0" header="0" footer="0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Q64"/>
  <sheetViews>
    <sheetView showGridLines="0" tabSelected="1" topLeftCell="A2" zoomScale="70" zoomScaleNormal="70" zoomScaleSheetLayoutView="55" workbookViewId="0">
      <pane ySplit="9" topLeftCell="A11" activePane="bottomLeft" state="frozen"/>
      <selection activeCell="N7" sqref="N7"/>
      <selection pane="bottomLeft" activeCell="Q49" sqref="Q49"/>
    </sheetView>
  </sheetViews>
  <sheetFormatPr defaultColWidth="9" defaultRowHeight="14.25" x14ac:dyDescent="0.2"/>
  <cols>
    <col min="1" max="1" width="8.625" style="7" customWidth="1"/>
    <col min="2" max="2" width="10.625" style="7" customWidth="1"/>
    <col min="3" max="3" width="45.625" style="7" customWidth="1"/>
    <col min="4" max="4" width="10.625" style="14" customWidth="1"/>
    <col min="5" max="5" width="8.375" style="7" customWidth="1"/>
    <col min="6" max="6" width="10.625" style="14" customWidth="1"/>
    <col min="7" max="7" width="12.625" style="52" customWidth="1"/>
    <col min="8" max="12" width="10.625" style="7" customWidth="1"/>
    <col min="13" max="13" width="12.5" style="7" customWidth="1"/>
    <col min="14" max="14" width="12.875" style="7" customWidth="1"/>
    <col min="15" max="15" width="13.625" style="7" customWidth="1"/>
    <col min="16" max="16" width="15.125" style="7" customWidth="1"/>
    <col min="17" max="17" width="10.875" style="7" bestFit="1" customWidth="1"/>
    <col min="18" max="16384" width="9" style="7"/>
  </cols>
  <sheetData>
    <row r="1" spans="1:17" s="3" customFormat="1" ht="15" hidden="1" customHeight="1" x14ac:dyDescent="0.2">
      <c r="A1" s="15"/>
      <c r="B1" s="16"/>
      <c r="C1" s="16"/>
      <c r="D1" s="16"/>
      <c r="E1" s="16"/>
      <c r="F1" s="16"/>
      <c r="G1" s="46"/>
      <c r="H1" s="16"/>
      <c r="I1" s="16"/>
      <c r="J1" s="16"/>
      <c r="K1" s="16"/>
      <c r="L1" s="16"/>
      <c r="M1" s="16"/>
      <c r="N1" s="16"/>
      <c r="O1" s="16"/>
      <c r="P1" s="16"/>
    </row>
    <row r="2" spans="1:17" ht="15" customHeight="1" x14ac:dyDescent="0.2">
      <c r="A2" s="1"/>
      <c r="B2" s="2"/>
      <c r="C2" s="17"/>
      <c r="D2" s="4"/>
      <c r="E2" s="17"/>
      <c r="F2" s="4"/>
      <c r="G2" s="47"/>
      <c r="H2" s="5"/>
      <c r="I2" s="5"/>
      <c r="J2" s="5"/>
      <c r="K2" s="5"/>
      <c r="L2" s="5"/>
      <c r="M2" s="5"/>
      <c r="N2" s="5"/>
      <c r="O2" s="5"/>
      <c r="P2" s="6"/>
    </row>
    <row r="3" spans="1:17" ht="15" customHeight="1" x14ac:dyDescent="0.2">
      <c r="A3" s="18" t="s">
        <v>26</v>
      </c>
      <c r="B3" s="19"/>
      <c r="C3" s="3"/>
      <c r="D3" s="8"/>
      <c r="E3" s="3"/>
      <c r="F3" s="8"/>
      <c r="G3" s="64"/>
      <c r="H3" s="64"/>
      <c r="K3" s="128"/>
      <c r="L3" s="128"/>
      <c r="M3" s="128"/>
      <c r="N3" s="128"/>
      <c r="P3" s="9"/>
    </row>
    <row r="4" spans="1:17" ht="18.600000000000001" customHeight="1" x14ac:dyDescent="0.2">
      <c r="A4" s="18"/>
      <c r="B4" s="19"/>
      <c r="C4" s="3"/>
      <c r="D4" s="8"/>
      <c r="E4" s="3"/>
      <c r="F4" s="8"/>
      <c r="G4" s="63"/>
      <c r="H4" s="78"/>
      <c r="K4" s="130"/>
      <c r="L4" s="130"/>
      <c r="M4" s="129"/>
      <c r="N4" s="130"/>
      <c r="P4" s="9"/>
    </row>
    <row r="5" spans="1:17" ht="15" customHeight="1" x14ac:dyDescent="0.2">
      <c r="A5" s="18" t="s">
        <v>32</v>
      </c>
      <c r="B5" s="19"/>
      <c r="C5" s="3"/>
      <c r="D5" s="8"/>
      <c r="E5" s="3"/>
      <c r="F5" s="8"/>
      <c r="G5" s="63"/>
      <c r="H5" s="78"/>
      <c r="K5" s="130"/>
      <c r="L5" s="130"/>
      <c r="M5" s="132"/>
      <c r="N5" s="130"/>
      <c r="P5" s="9"/>
    </row>
    <row r="6" spans="1:17" ht="15" customHeight="1" x14ac:dyDescent="0.2">
      <c r="A6" s="18"/>
      <c r="B6" s="19"/>
      <c r="C6" s="3"/>
      <c r="D6" s="8"/>
      <c r="E6" s="3"/>
      <c r="F6" s="8"/>
      <c r="G6" s="63"/>
      <c r="H6" s="78"/>
      <c r="K6" s="130"/>
      <c r="L6" s="130"/>
      <c r="M6" s="132"/>
      <c r="N6" s="130"/>
      <c r="P6" s="9"/>
    </row>
    <row r="7" spans="1:17" ht="15" customHeight="1" x14ac:dyDescent="0.2">
      <c r="A7" s="18" t="s">
        <v>21</v>
      </c>
      <c r="B7" s="114" t="s">
        <v>84</v>
      </c>
      <c r="C7" s="3"/>
      <c r="D7" s="8"/>
      <c r="E7" s="3"/>
      <c r="F7" s="8"/>
      <c r="G7" s="48"/>
      <c r="K7" s="130"/>
      <c r="L7" s="130"/>
      <c r="M7" s="132"/>
      <c r="N7" s="130"/>
      <c r="P7" s="9"/>
    </row>
    <row r="8" spans="1:17" ht="15" customHeight="1" x14ac:dyDescent="0.2">
      <c r="A8" s="18"/>
      <c r="B8" s="19"/>
      <c r="C8" s="3"/>
      <c r="D8" s="8"/>
      <c r="E8" s="3"/>
      <c r="F8" s="8"/>
      <c r="G8" s="48"/>
      <c r="K8" s="130"/>
      <c r="L8" s="130"/>
      <c r="M8" s="129"/>
      <c r="N8" s="130"/>
      <c r="P8" s="9"/>
    </row>
    <row r="9" spans="1:17" ht="15" customHeight="1" x14ac:dyDescent="0.2">
      <c r="A9" s="18" t="s">
        <v>19</v>
      </c>
      <c r="B9" s="3"/>
      <c r="C9" s="3"/>
      <c r="D9" s="8"/>
      <c r="E9" s="3"/>
      <c r="F9" s="8"/>
      <c r="G9" s="48"/>
      <c r="P9" s="9"/>
    </row>
    <row r="10" spans="1:17" s="96" customFormat="1" ht="61.35" customHeight="1" x14ac:dyDescent="0.2">
      <c r="A10" s="99" t="s">
        <v>7</v>
      </c>
      <c r="B10" s="100" t="s">
        <v>25</v>
      </c>
      <c r="C10" s="101" t="s">
        <v>0</v>
      </c>
      <c r="D10" s="102" t="s">
        <v>1</v>
      </c>
      <c r="E10" s="101" t="s">
        <v>2</v>
      </c>
      <c r="F10" s="102" t="s">
        <v>22</v>
      </c>
      <c r="G10" s="103" t="s">
        <v>23</v>
      </c>
      <c r="H10" s="104" t="s">
        <v>35</v>
      </c>
      <c r="I10" s="100" t="s">
        <v>33</v>
      </c>
      <c r="J10" s="104" t="s">
        <v>36</v>
      </c>
      <c r="K10" s="100" t="s">
        <v>34</v>
      </c>
      <c r="L10" s="100" t="s">
        <v>27</v>
      </c>
      <c r="M10" s="100" t="s">
        <v>37</v>
      </c>
      <c r="N10" s="100" t="s">
        <v>28</v>
      </c>
      <c r="O10" s="100" t="s">
        <v>38</v>
      </c>
      <c r="P10" s="105" t="s">
        <v>11</v>
      </c>
    </row>
    <row r="11" spans="1:17" s="96" customFormat="1" ht="18" customHeight="1" x14ac:dyDescent="0.2">
      <c r="A11" s="106"/>
      <c r="B11" s="139" t="s">
        <v>58</v>
      </c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07"/>
    </row>
    <row r="12" spans="1:17" ht="18" customHeight="1" x14ac:dyDescent="0.2">
      <c r="A12" s="86">
        <v>1</v>
      </c>
      <c r="B12" s="21"/>
      <c r="C12" s="22" t="s">
        <v>8</v>
      </c>
      <c r="D12" s="21">
        <v>1</v>
      </c>
      <c r="E12" s="21" t="s">
        <v>6</v>
      </c>
      <c r="F12" s="87">
        <v>0</v>
      </c>
      <c r="G12" s="88">
        <f t="shared" ref="G12:G18" si="0">(F12*D12)+D12</f>
        <v>1</v>
      </c>
      <c r="H12" s="88">
        <f>2.5%*$Q$12/I12</f>
        <v>16.229836531839382</v>
      </c>
      <c r="I12" s="89">
        <v>87.91</v>
      </c>
      <c r="J12" s="88">
        <f t="shared" ref="J12:J18" si="1">H12*G12</f>
        <v>16.229836531839382</v>
      </c>
      <c r="K12" s="89">
        <f t="shared" ref="K12:K18" si="2">I12*J12</f>
        <v>1426.764929514</v>
      </c>
      <c r="L12" s="89">
        <v>0</v>
      </c>
      <c r="M12" s="89">
        <f t="shared" ref="M12:M18" si="3">L12*G12</f>
        <v>0</v>
      </c>
      <c r="N12" s="89">
        <v>0</v>
      </c>
      <c r="O12" s="89">
        <f t="shared" ref="O12:O18" si="4">N12*G12</f>
        <v>0</v>
      </c>
      <c r="P12" s="89">
        <f t="shared" ref="P12:P18" si="5">IF(D12="","",(K12+M12+O12))</f>
        <v>1426.764929514</v>
      </c>
      <c r="Q12" s="53">
        <f>SUM(P22:P44)/2</f>
        <v>57070.597180559998</v>
      </c>
    </row>
    <row r="13" spans="1:17" ht="18" customHeight="1" x14ac:dyDescent="0.2">
      <c r="A13" s="21">
        <f t="shared" ref="A13:A18" si="6">A12+1</f>
        <v>2</v>
      </c>
      <c r="B13" s="21"/>
      <c r="C13" s="22" t="s">
        <v>10</v>
      </c>
      <c r="D13" s="21">
        <v>1</v>
      </c>
      <c r="E13" s="21" t="s">
        <v>6</v>
      </c>
      <c r="F13" s="87">
        <v>0</v>
      </c>
      <c r="G13" s="88">
        <f t="shared" si="0"/>
        <v>1</v>
      </c>
      <c r="H13" s="88">
        <f>1.65%*$Q$12/I13</f>
        <v>10.711692111013992</v>
      </c>
      <c r="I13" s="89">
        <v>87.91</v>
      </c>
      <c r="J13" s="88">
        <f t="shared" si="1"/>
        <v>10.711692111013992</v>
      </c>
      <c r="K13" s="89">
        <f t="shared" si="2"/>
        <v>941.66485347924004</v>
      </c>
      <c r="L13" s="89">
        <v>0</v>
      </c>
      <c r="M13" s="89">
        <f t="shared" si="3"/>
        <v>0</v>
      </c>
      <c r="N13" s="89">
        <v>0</v>
      </c>
      <c r="O13" s="89">
        <f t="shared" si="4"/>
        <v>0</v>
      </c>
      <c r="P13" s="89">
        <f t="shared" si="5"/>
        <v>941.66485347924004</v>
      </c>
    </row>
    <row r="14" spans="1:17" ht="18" customHeight="1" x14ac:dyDescent="0.2">
      <c r="A14" s="21">
        <f t="shared" si="6"/>
        <v>3</v>
      </c>
      <c r="B14" s="21"/>
      <c r="C14" s="22" t="s">
        <v>9</v>
      </c>
      <c r="D14" s="21">
        <v>1</v>
      </c>
      <c r="E14" s="21" t="s">
        <v>6</v>
      </c>
      <c r="F14" s="87">
        <v>0</v>
      </c>
      <c r="G14" s="88">
        <f t="shared" si="0"/>
        <v>1</v>
      </c>
      <c r="H14" s="88">
        <f>0.85%*$Q$12/I14</f>
        <v>5.51814442082539</v>
      </c>
      <c r="I14" s="89">
        <v>87.91</v>
      </c>
      <c r="J14" s="88">
        <f t="shared" si="1"/>
        <v>5.51814442082539</v>
      </c>
      <c r="K14" s="89">
        <f t="shared" si="2"/>
        <v>485.10007603476004</v>
      </c>
      <c r="L14" s="89">
        <v>0</v>
      </c>
      <c r="M14" s="89">
        <f t="shared" si="3"/>
        <v>0</v>
      </c>
      <c r="N14" s="89">
        <v>0</v>
      </c>
      <c r="O14" s="89">
        <f t="shared" si="4"/>
        <v>0</v>
      </c>
      <c r="P14" s="89">
        <f t="shared" si="5"/>
        <v>485.10007603476004</v>
      </c>
    </row>
    <row r="15" spans="1:17" ht="18" customHeight="1" x14ac:dyDescent="0.2">
      <c r="A15" s="21">
        <f t="shared" si="6"/>
        <v>4</v>
      </c>
      <c r="B15" s="21"/>
      <c r="C15" s="22" t="s">
        <v>3</v>
      </c>
      <c r="D15" s="21">
        <v>1</v>
      </c>
      <c r="E15" s="21" t="s">
        <v>6</v>
      </c>
      <c r="F15" s="87">
        <v>0</v>
      </c>
      <c r="G15" s="88">
        <f t="shared" si="0"/>
        <v>1</v>
      </c>
      <c r="H15" s="88">
        <f>2.35%*$Q$12/I15</f>
        <v>15.256046339929018</v>
      </c>
      <c r="I15" s="89">
        <v>87.91</v>
      </c>
      <c r="J15" s="88">
        <f t="shared" si="1"/>
        <v>15.256046339929018</v>
      </c>
      <c r="K15" s="89">
        <f t="shared" si="2"/>
        <v>1341.1590337431599</v>
      </c>
      <c r="L15" s="89">
        <v>0</v>
      </c>
      <c r="M15" s="89">
        <f t="shared" si="3"/>
        <v>0</v>
      </c>
      <c r="N15" s="89">
        <v>0</v>
      </c>
      <c r="O15" s="89">
        <f t="shared" si="4"/>
        <v>0</v>
      </c>
      <c r="P15" s="89">
        <f t="shared" si="5"/>
        <v>1341.1590337431599</v>
      </c>
    </row>
    <row r="16" spans="1:17" ht="18" customHeight="1" x14ac:dyDescent="0.2">
      <c r="A16" s="21">
        <f t="shared" si="6"/>
        <v>5</v>
      </c>
      <c r="B16" s="21"/>
      <c r="C16" s="22" t="s">
        <v>29</v>
      </c>
      <c r="D16" s="21">
        <v>1</v>
      </c>
      <c r="E16" s="21" t="s">
        <v>6</v>
      </c>
      <c r="F16" s="87">
        <v>0</v>
      </c>
      <c r="G16" s="88">
        <f t="shared" si="0"/>
        <v>1</v>
      </c>
      <c r="H16" s="88">
        <f>2%*$Q$12/I16</f>
        <v>12.983869225471507</v>
      </c>
      <c r="I16" s="89">
        <v>87.91</v>
      </c>
      <c r="J16" s="88">
        <f t="shared" si="1"/>
        <v>12.983869225471507</v>
      </c>
      <c r="K16" s="89">
        <f t="shared" si="2"/>
        <v>1141.4119436112001</v>
      </c>
      <c r="L16" s="89">
        <v>0</v>
      </c>
      <c r="M16" s="89">
        <f t="shared" si="3"/>
        <v>0</v>
      </c>
      <c r="N16" s="89">
        <v>0</v>
      </c>
      <c r="O16" s="89">
        <f t="shared" si="4"/>
        <v>0</v>
      </c>
      <c r="P16" s="89">
        <f t="shared" si="5"/>
        <v>1141.4119436112001</v>
      </c>
    </row>
    <row r="17" spans="1:16" ht="18" customHeight="1" x14ac:dyDescent="0.2">
      <c r="A17" s="21">
        <f t="shared" si="6"/>
        <v>6</v>
      </c>
      <c r="B17" s="21"/>
      <c r="C17" s="22" t="s">
        <v>4</v>
      </c>
      <c r="D17" s="21">
        <v>1</v>
      </c>
      <c r="E17" s="21" t="s">
        <v>6</v>
      </c>
      <c r="F17" s="87">
        <v>0</v>
      </c>
      <c r="G17" s="88">
        <f t="shared" si="0"/>
        <v>1</v>
      </c>
      <c r="H17" s="88">
        <f>0.98%*$Q$12/I17</f>
        <v>6.3620959204810372</v>
      </c>
      <c r="I17" s="89">
        <v>87.91</v>
      </c>
      <c r="J17" s="88">
        <f t="shared" si="1"/>
        <v>6.3620959204810372</v>
      </c>
      <c r="K17" s="89">
        <f t="shared" si="2"/>
        <v>559.29185236948797</v>
      </c>
      <c r="L17" s="89">
        <v>0</v>
      </c>
      <c r="M17" s="89">
        <f t="shared" si="3"/>
        <v>0</v>
      </c>
      <c r="N17" s="89">
        <v>0</v>
      </c>
      <c r="O17" s="89">
        <f t="shared" si="4"/>
        <v>0</v>
      </c>
      <c r="P17" s="89">
        <f t="shared" si="5"/>
        <v>559.29185236948797</v>
      </c>
    </row>
    <row r="18" spans="1:16" ht="18" customHeight="1" x14ac:dyDescent="0.2">
      <c r="A18" s="21">
        <f t="shared" si="6"/>
        <v>7</v>
      </c>
      <c r="B18" s="21"/>
      <c r="C18" s="22" t="s">
        <v>14</v>
      </c>
      <c r="D18" s="90">
        <v>1</v>
      </c>
      <c r="E18" s="21" t="s">
        <v>6</v>
      </c>
      <c r="F18" s="87">
        <v>0</v>
      </c>
      <c r="G18" s="88">
        <f t="shared" si="0"/>
        <v>1</v>
      </c>
      <c r="H18" s="88">
        <f>3.5%*$Q$12/I18</f>
        <v>22.721771144575136</v>
      </c>
      <c r="I18" s="89">
        <v>87.91</v>
      </c>
      <c r="J18" s="88">
        <f t="shared" si="1"/>
        <v>22.721771144575136</v>
      </c>
      <c r="K18" s="89">
        <f t="shared" si="2"/>
        <v>1997.4709013196002</v>
      </c>
      <c r="L18" s="89">
        <v>0</v>
      </c>
      <c r="M18" s="89">
        <f t="shared" si="3"/>
        <v>0</v>
      </c>
      <c r="N18" s="89">
        <v>0</v>
      </c>
      <c r="O18" s="89">
        <f t="shared" si="4"/>
        <v>0</v>
      </c>
      <c r="P18" s="89">
        <f t="shared" si="5"/>
        <v>1997.4709013196002</v>
      </c>
    </row>
    <row r="19" spans="1:16" s="96" customFormat="1" ht="18" customHeight="1" x14ac:dyDescent="0.2">
      <c r="A19" s="108" t="str">
        <f t="shared" ref="A19" si="7">IF(E19=0,"",1+MAX(A13:A18))</f>
        <v/>
      </c>
      <c r="B19" s="109"/>
      <c r="C19" s="110"/>
      <c r="D19" s="111"/>
      <c r="E19" s="111"/>
      <c r="F19" s="111"/>
      <c r="G19" s="112"/>
      <c r="H19" s="111"/>
      <c r="I19" s="111"/>
      <c r="J19" s="111"/>
      <c r="K19" s="111"/>
      <c r="L19" s="111"/>
      <c r="M19" s="111"/>
      <c r="N19" s="111"/>
      <c r="O19" s="111" t="s">
        <v>24</v>
      </c>
      <c r="P19" s="113">
        <f>SUM(P11:P18)</f>
        <v>7892.8635900714489</v>
      </c>
    </row>
    <row r="20" spans="1:16" ht="18" customHeight="1" x14ac:dyDescent="0.2">
      <c r="A20" s="70" t="str">
        <f>IF(E20=0,"",1+MAX(#REF!))</f>
        <v/>
      </c>
      <c r="B20" s="71"/>
      <c r="C20" s="23"/>
      <c r="D20" s="24"/>
      <c r="E20" s="23"/>
      <c r="F20" s="24"/>
      <c r="G20" s="49"/>
      <c r="H20" s="79"/>
      <c r="I20" s="25"/>
      <c r="J20" s="79"/>
      <c r="K20" s="25"/>
      <c r="L20" s="25"/>
      <c r="M20" s="25"/>
      <c r="N20" s="25"/>
      <c r="O20" s="25"/>
      <c r="P20" s="26"/>
    </row>
    <row r="21" spans="1:16" s="96" customFormat="1" ht="18" customHeight="1" x14ac:dyDescent="0.2">
      <c r="A21" s="106" t="str">
        <f>IF(E21=0,"",1+MAX(A20:A20))</f>
        <v/>
      </c>
      <c r="B21" s="139" t="s">
        <v>59</v>
      </c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07"/>
    </row>
    <row r="22" spans="1:16" s="3" customFormat="1" ht="15" x14ac:dyDescent="0.2">
      <c r="A22" s="86" t="str">
        <f>IF(E22=0,"",1+MAX(A20:A21))</f>
        <v/>
      </c>
      <c r="B22" s="29"/>
      <c r="C22" s="80" t="s">
        <v>61</v>
      </c>
      <c r="D22" s="28"/>
      <c r="E22" s="28"/>
      <c r="F22" s="87"/>
      <c r="G22" s="88"/>
      <c r="H22" s="88"/>
      <c r="I22" s="89"/>
      <c r="J22" s="88"/>
      <c r="K22" s="89"/>
      <c r="L22" s="89"/>
      <c r="M22" s="89"/>
      <c r="N22" s="89"/>
      <c r="O22" s="89"/>
      <c r="P22" s="89"/>
    </row>
    <row r="23" spans="1:16" s="3" customFormat="1" x14ac:dyDescent="0.2">
      <c r="A23" s="27">
        <f>IF(D23=0,"",1+MAX(A$12:A22))</f>
        <v>8</v>
      </c>
      <c r="B23" s="30"/>
      <c r="C23" s="55" t="s">
        <v>64</v>
      </c>
      <c r="D23" s="28">
        <v>1</v>
      </c>
      <c r="E23" s="28" t="s">
        <v>56</v>
      </c>
      <c r="F23" s="87">
        <v>0</v>
      </c>
      <c r="G23" s="88">
        <f t="shared" ref="G23:G38" si="8">(F23*D23)+D23</f>
        <v>1</v>
      </c>
      <c r="H23" s="88">
        <v>1.5780000000000001</v>
      </c>
      <c r="I23" s="89">
        <v>63.5</v>
      </c>
      <c r="J23" s="88">
        <f t="shared" ref="J23:J38" si="9">H23*G23</f>
        <v>1.5780000000000001</v>
      </c>
      <c r="K23" s="89">
        <f t="shared" ref="K23:K38" si="10">I23*J23</f>
        <v>100.203</v>
      </c>
      <c r="L23" s="89">
        <v>124.97</v>
      </c>
      <c r="M23" s="89">
        <f t="shared" ref="M23:M38" si="11">L23*G23</f>
        <v>124.97</v>
      </c>
      <c r="N23" s="89">
        <v>0</v>
      </c>
      <c r="O23" s="89">
        <f t="shared" ref="O23:O38" si="12">N23*G23</f>
        <v>0</v>
      </c>
      <c r="P23" s="89">
        <f t="shared" ref="P23:P38" si="13">IF(D23="","",(K23+M23+O23))</f>
        <v>225.173</v>
      </c>
    </row>
    <row r="24" spans="1:16" s="3" customFormat="1" x14ac:dyDescent="0.2">
      <c r="A24" s="98">
        <f>IF(D24=0,"",1+MAX(A$12:A23))</f>
        <v>9</v>
      </c>
      <c r="B24" s="30"/>
      <c r="C24" s="55" t="s">
        <v>65</v>
      </c>
      <c r="D24" s="28">
        <v>1</v>
      </c>
      <c r="E24" s="28" t="s">
        <v>56</v>
      </c>
      <c r="F24" s="87">
        <v>0</v>
      </c>
      <c r="G24" s="88">
        <f t="shared" si="8"/>
        <v>1</v>
      </c>
      <c r="H24" s="88">
        <v>2.2970000000000002</v>
      </c>
      <c r="I24" s="89">
        <v>63.5</v>
      </c>
      <c r="J24" s="88">
        <f t="shared" si="9"/>
        <v>2.2970000000000002</v>
      </c>
      <c r="K24" s="89">
        <f t="shared" si="10"/>
        <v>145.8595</v>
      </c>
      <c r="L24" s="89">
        <v>183.91</v>
      </c>
      <c r="M24" s="89">
        <f t="shared" si="11"/>
        <v>183.91</v>
      </c>
      <c r="N24" s="89">
        <v>0</v>
      </c>
      <c r="O24" s="89">
        <f t="shared" si="12"/>
        <v>0</v>
      </c>
      <c r="P24" s="89">
        <f t="shared" si="13"/>
        <v>329.76949999999999</v>
      </c>
    </row>
    <row r="25" spans="1:16" s="3" customFormat="1" ht="42.75" x14ac:dyDescent="0.2">
      <c r="A25" s="98">
        <f>IF(D25=0,"",1+MAX(A$12:A24))</f>
        <v>10</v>
      </c>
      <c r="B25" s="30"/>
      <c r="C25" s="55" t="s">
        <v>66</v>
      </c>
      <c r="D25" s="28">
        <v>4</v>
      </c>
      <c r="E25" s="28" t="s">
        <v>56</v>
      </c>
      <c r="F25" s="87">
        <v>0</v>
      </c>
      <c r="G25" s="88">
        <f t="shared" si="8"/>
        <v>4</v>
      </c>
      <c r="H25" s="88">
        <v>2.7410000000000001</v>
      </c>
      <c r="I25" s="89">
        <v>63.5</v>
      </c>
      <c r="J25" s="88">
        <f t="shared" si="9"/>
        <v>10.964</v>
      </c>
      <c r="K25" s="89">
        <f t="shared" si="10"/>
        <v>696.21400000000006</v>
      </c>
      <c r="L25" s="89">
        <v>253.70205000000001</v>
      </c>
      <c r="M25" s="89">
        <f t="shared" si="11"/>
        <v>1014.8082000000001</v>
      </c>
      <c r="N25" s="89">
        <v>0</v>
      </c>
      <c r="O25" s="89">
        <f t="shared" si="12"/>
        <v>0</v>
      </c>
      <c r="P25" s="89">
        <f t="shared" si="13"/>
        <v>1711.0222000000001</v>
      </c>
    </row>
    <row r="26" spans="1:16" s="3" customFormat="1" ht="42.75" x14ac:dyDescent="0.2">
      <c r="A26" s="98">
        <f>IF(D26=0,"",1+MAX(A$12:A25))</f>
        <v>11</v>
      </c>
      <c r="B26" s="30"/>
      <c r="C26" s="55" t="s">
        <v>67</v>
      </c>
      <c r="D26" s="28">
        <v>4</v>
      </c>
      <c r="E26" s="28" t="s">
        <v>56</v>
      </c>
      <c r="F26" s="87">
        <v>0</v>
      </c>
      <c r="G26" s="88">
        <f t="shared" si="8"/>
        <v>4</v>
      </c>
      <c r="H26" s="88">
        <v>3.3159999999999998</v>
      </c>
      <c r="I26" s="89">
        <v>63.5</v>
      </c>
      <c r="J26" s="88">
        <f t="shared" si="9"/>
        <v>13.263999999999999</v>
      </c>
      <c r="K26" s="89">
        <f t="shared" si="10"/>
        <v>842.26400000000001</v>
      </c>
      <c r="L26" s="89">
        <v>342.71999999999997</v>
      </c>
      <c r="M26" s="89">
        <f t="shared" si="11"/>
        <v>1370.8799999999999</v>
      </c>
      <c r="N26" s="89">
        <v>0</v>
      </c>
      <c r="O26" s="89">
        <f t="shared" si="12"/>
        <v>0</v>
      </c>
      <c r="P26" s="89">
        <f t="shared" si="13"/>
        <v>2213.1439999999998</v>
      </c>
    </row>
    <row r="27" spans="1:16" s="3" customFormat="1" ht="42.75" x14ac:dyDescent="0.2">
      <c r="A27" s="98">
        <f>IF(D27=0,"",1+MAX(A$12:A26))</f>
        <v>12</v>
      </c>
      <c r="B27" s="30"/>
      <c r="C27" s="55" t="s">
        <v>68</v>
      </c>
      <c r="D27" s="28">
        <v>2</v>
      </c>
      <c r="E27" s="28" t="s">
        <v>56</v>
      </c>
      <c r="F27" s="87">
        <v>0</v>
      </c>
      <c r="G27" s="88">
        <f t="shared" si="8"/>
        <v>2</v>
      </c>
      <c r="H27" s="88">
        <v>4.1239999999999997</v>
      </c>
      <c r="I27" s="89">
        <v>63.5</v>
      </c>
      <c r="J27" s="88">
        <f t="shared" si="9"/>
        <v>8.2479999999999993</v>
      </c>
      <c r="K27" s="89">
        <f t="shared" si="10"/>
        <v>523.74799999999993</v>
      </c>
      <c r="L27" s="89">
        <v>460.53000000000009</v>
      </c>
      <c r="M27" s="89">
        <f t="shared" si="11"/>
        <v>921.06000000000017</v>
      </c>
      <c r="N27" s="89">
        <v>0</v>
      </c>
      <c r="O27" s="89">
        <f t="shared" si="12"/>
        <v>0</v>
      </c>
      <c r="P27" s="89">
        <f t="shared" si="13"/>
        <v>1444.808</v>
      </c>
    </row>
    <row r="28" spans="1:16" s="3" customFormat="1" ht="42.75" x14ac:dyDescent="0.2">
      <c r="A28" s="98">
        <f>IF(D28=0,"",1+MAX(A$12:A27))</f>
        <v>13</v>
      </c>
      <c r="B28" s="30"/>
      <c r="C28" s="55" t="s">
        <v>69</v>
      </c>
      <c r="D28" s="28">
        <v>2</v>
      </c>
      <c r="E28" s="28" t="s">
        <v>56</v>
      </c>
      <c r="F28" s="87">
        <v>0</v>
      </c>
      <c r="G28" s="88">
        <f t="shared" si="8"/>
        <v>2</v>
      </c>
      <c r="H28" s="88">
        <v>1.798</v>
      </c>
      <c r="I28" s="89">
        <v>63.5</v>
      </c>
      <c r="J28" s="88">
        <f t="shared" si="9"/>
        <v>3.5960000000000001</v>
      </c>
      <c r="K28" s="89">
        <f t="shared" si="10"/>
        <v>228.346</v>
      </c>
      <c r="L28" s="89">
        <v>127.39545</v>
      </c>
      <c r="M28" s="89">
        <f t="shared" si="11"/>
        <v>254.79089999999999</v>
      </c>
      <c r="N28" s="89">
        <v>0</v>
      </c>
      <c r="O28" s="89">
        <f t="shared" si="12"/>
        <v>0</v>
      </c>
      <c r="P28" s="89">
        <f t="shared" si="13"/>
        <v>483.13689999999997</v>
      </c>
    </row>
    <row r="29" spans="1:16" s="3" customFormat="1" ht="28.5" x14ac:dyDescent="0.2">
      <c r="A29" s="98">
        <f>IF(D29=0,"",1+MAX(A$12:A28))</f>
        <v>14</v>
      </c>
      <c r="B29" s="30"/>
      <c r="C29" s="55" t="s">
        <v>70</v>
      </c>
      <c r="D29" s="28">
        <v>4</v>
      </c>
      <c r="E29" s="28" t="s">
        <v>56</v>
      </c>
      <c r="F29" s="87">
        <v>0</v>
      </c>
      <c r="G29" s="88">
        <f t="shared" si="8"/>
        <v>4</v>
      </c>
      <c r="H29" s="88">
        <v>1.427</v>
      </c>
      <c r="I29" s="89">
        <v>63.5</v>
      </c>
      <c r="J29" s="88">
        <f t="shared" si="9"/>
        <v>5.7080000000000002</v>
      </c>
      <c r="K29" s="89">
        <f t="shared" si="10"/>
        <v>362.45800000000003</v>
      </c>
      <c r="L29" s="89">
        <v>99.75</v>
      </c>
      <c r="M29" s="89">
        <f t="shared" si="11"/>
        <v>399</v>
      </c>
      <c r="N29" s="89">
        <v>0</v>
      </c>
      <c r="O29" s="89">
        <f t="shared" si="12"/>
        <v>0</v>
      </c>
      <c r="P29" s="89">
        <f t="shared" si="13"/>
        <v>761.45800000000008</v>
      </c>
    </row>
    <row r="30" spans="1:16" s="3" customFormat="1" ht="28.5" x14ac:dyDescent="0.2">
      <c r="A30" s="98">
        <f>IF(D30=0,"",1+MAX(A$12:A29))</f>
        <v>15</v>
      </c>
      <c r="B30" s="30"/>
      <c r="C30" s="55" t="s">
        <v>71</v>
      </c>
      <c r="D30" s="28">
        <v>5</v>
      </c>
      <c r="E30" s="28" t="s">
        <v>56</v>
      </c>
      <c r="F30" s="87">
        <v>0</v>
      </c>
      <c r="G30" s="88">
        <f t="shared" si="8"/>
        <v>5</v>
      </c>
      <c r="H30" s="88">
        <v>1.75</v>
      </c>
      <c r="I30" s="89">
        <v>63.5</v>
      </c>
      <c r="J30" s="88">
        <f t="shared" si="9"/>
        <v>8.75</v>
      </c>
      <c r="K30" s="89">
        <f t="shared" si="10"/>
        <v>555.625</v>
      </c>
      <c r="L30" s="89"/>
      <c r="M30" s="89">
        <f t="shared" si="11"/>
        <v>0</v>
      </c>
      <c r="N30" s="89">
        <v>0</v>
      </c>
      <c r="O30" s="89">
        <f t="shared" si="12"/>
        <v>0</v>
      </c>
      <c r="P30" s="89">
        <f t="shared" si="13"/>
        <v>555.625</v>
      </c>
    </row>
    <row r="31" spans="1:16" s="3" customFormat="1" ht="28.5" x14ac:dyDescent="0.2">
      <c r="A31" s="98">
        <f>IF(D31=0,"",1+MAX(A$12:A30))</f>
        <v>16</v>
      </c>
      <c r="B31" s="30"/>
      <c r="C31" s="55" t="s">
        <v>72</v>
      </c>
      <c r="D31" s="28">
        <v>38.43</v>
      </c>
      <c r="E31" s="28" t="s">
        <v>57</v>
      </c>
      <c r="F31" s="87">
        <v>0.1</v>
      </c>
      <c r="G31" s="88">
        <f t="shared" si="8"/>
        <v>42.272999999999996</v>
      </c>
      <c r="H31" s="88">
        <v>0.36799999999999999</v>
      </c>
      <c r="I31" s="89">
        <v>63.5</v>
      </c>
      <c r="J31" s="88">
        <f t="shared" si="9"/>
        <v>15.556463999999998</v>
      </c>
      <c r="K31" s="89">
        <f t="shared" si="10"/>
        <v>987.83546399999989</v>
      </c>
      <c r="L31" s="89">
        <v>23.75</v>
      </c>
      <c r="M31" s="89">
        <f t="shared" si="11"/>
        <v>1003.9837499999999</v>
      </c>
      <c r="N31" s="89">
        <v>0</v>
      </c>
      <c r="O31" s="89">
        <f t="shared" si="12"/>
        <v>0</v>
      </c>
      <c r="P31" s="89">
        <f t="shared" si="13"/>
        <v>1991.8192139999996</v>
      </c>
    </row>
    <row r="32" spans="1:16" s="3" customFormat="1" x14ac:dyDescent="0.2">
      <c r="A32" s="98">
        <f>IF(D32=0,"",1+MAX(A$12:A31))</f>
        <v>17</v>
      </c>
      <c r="B32" s="30"/>
      <c r="C32" s="55" t="s">
        <v>73</v>
      </c>
      <c r="D32" s="28">
        <v>52.12</v>
      </c>
      <c r="E32" s="28" t="s">
        <v>57</v>
      </c>
      <c r="F32" s="87">
        <v>0.1</v>
      </c>
      <c r="G32" s="88">
        <f t="shared" si="8"/>
        <v>57.331999999999994</v>
      </c>
      <c r="H32" s="88">
        <v>0.38500000000000001</v>
      </c>
      <c r="I32" s="89">
        <v>63.5</v>
      </c>
      <c r="J32" s="88">
        <f t="shared" si="9"/>
        <v>22.072819999999997</v>
      </c>
      <c r="K32" s="89">
        <f t="shared" si="10"/>
        <v>1401.6240699999998</v>
      </c>
      <c r="L32" s="89">
        <v>38.75</v>
      </c>
      <c r="M32" s="89">
        <f t="shared" si="11"/>
        <v>2221.6149999999998</v>
      </c>
      <c r="N32" s="89">
        <v>0</v>
      </c>
      <c r="O32" s="89">
        <f t="shared" si="12"/>
        <v>0</v>
      </c>
      <c r="P32" s="89">
        <f t="shared" si="13"/>
        <v>3623.2390699999996</v>
      </c>
    </row>
    <row r="33" spans="1:16" s="3" customFormat="1" x14ac:dyDescent="0.2">
      <c r="A33" s="98">
        <f>IF(D33=0,"",1+MAX(A$12:A32))</f>
        <v>18</v>
      </c>
      <c r="B33" s="30"/>
      <c r="C33" s="55" t="s">
        <v>74</v>
      </c>
      <c r="D33" s="28">
        <v>12.94</v>
      </c>
      <c r="E33" s="28" t="s">
        <v>57</v>
      </c>
      <c r="F33" s="87">
        <v>0.1</v>
      </c>
      <c r="G33" s="88">
        <f t="shared" si="8"/>
        <v>14.234</v>
      </c>
      <c r="H33" s="88">
        <v>0.35</v>
      </c>
      <c r="I33" s="89">
        <v>63.5</v>
      </c>
      <c r="J33" s="88">
        <f t="shared" si="9"/>
        <v>4.9818999999999996</v>
      </c>
      <c r="K33" s="89">
        <f t="shared" si="10"/>
        <v>316.35064999999997</v>
      </c>
      <c r="L33" s="89">
        <v>18.899999999999999</v>
      </c>
      <c r="M33" s="89">
        <f t="shared" si="11"/>
        <v>269.02259999999995</v>
      </c>
      <c r="N33" s="89">
        <v>0</v>
      </c>
      <c r="O33" s="89">
        <f t="shared" si="12"/>
        <v>0</v>
      </c>
      <c r="P33" s="89">
        <f t="shared" si="13"/>
        <v>585.37324999999987</v>
      </c>
    </row>
    <row r="34" spans="1:16" s="3" customFormat="1" x14ac:dyDescent="0.2">
      <c r="A34" s="98">
        <f>IF(D34=0,"",1+MAX(A$12:A33))</f>
        <v>19</v>
      </c>
      <c r="B34" s="30"/>
      <c r="C34" s="55" t="s">
        <v>75</v>
      </c>
      <c r="D34" s="28">
        <v>32.44</v>
      </c>
      <c r="E34" s="28" t="s">
        <v>57</v>
      </c>
      <c r="F34" s="87">
        <v>0.1</v>
      </c>
      <c r="G34" s="88">
        <f t="shared" si="8"/>
        <v>35.683999999999997</v>
      </c>
      <c r="H34" s="88">
        <v>5.1999999999999998E-2</v>
      </c>
      <c r="I34" s="89">
        <v>63.5</v>
      </c>
      <c r="J34" s="88">
        <f t="shared" si="9"/>
        <v>1.8555679999999999</v>
      </c>
      <c r="K34" s="89">
        <f t="shared" si="10"/>
        <v>117.82856799999999</v>
      </c>
      <c r="L34" s="89">
        <v>3.74</v>
      </c>
      <c r="M34" s="89">
        <f t="shared" si="11"/>
        <v>133.45815999999999</v>
      </c>
      <c r="N34" s="89">
        <v>0</v>
      </c>
      <c r="O34" s="89">
        <f t="shared" si="12"/>
        <v>0</v>
      </c>
      <c r="P34" s="89">
        <f t="shared" si="13"/>
        <v>251.28672799999998</v>
      </c>
    </row>
    <row r="35" spans="1:16" s="3" customFormat="1" x14ac:dyDescent="0.2">
      <c r="A35" s="98">
        <f>IF(D35=0,"",1+MAX(A$12:A34))</f>
        <v>20</v>
      </c>
      <c r="B35" s="30"/>
      <c r="C35" s="55" t="s">
        <v>76</v>
      </c>
      <c r="D35" s="28">
        <v>70.349999999999994</v>
      </c>
      <c r="E35" s="28" t="s">
        <v>53</v>
      </c>
      <c r="F35" s="87">
        <v>0.1</v>
      </c>
      <c r="G35" s="88">
        <f t="shared" si="8"/>
        <v>77.384999999999991</v>
      </c>
      <c r="H35" s="88">
        <v>0.23499999999999999</v>
      </c>
      <c r="I35" s="89">
        <v>63.5</v>
      </c>
      <c r="J35" s="88">
        <f t="shared" si="9"/>
        <v>18.185474999999997</v>
      </c>
      <c r="K35" s="89">
        <f t="shared" si="10"/>
        <v>1154.7776624999997</v>
      </c>
      <c r="L35" s="89">
        <v>32.25</v>
      </c>
      <c r="M35" s="89">
        <f t="shared" si="11"/>
        <v>2495.6662499999998</v>
      </c>
      <c r="N35" s="89">
        <v>0</v>
      </c>
      <c r="O35" s="89">
        <f t="shared" si="12"/>
        <v>0</v>
      </c>
      <c r="P35" s="89">
        <f t="shared" si="13"/>
        <v>3650.4439124999994</v>
      </c>
    </row>
    <row r="36" spans="1:16" s="3" customFormat="1" x14ac:dyDescent="0.2">
      <c r="A36" s="98">
        <f>IF(D36=0,"",1+MAX(A$12:A35))</f>
        <v>21</v>
      </c>
      <c r="B36" s="30"/>
      <c r="C36" s="55" t="s">
        <v>77</v>
      </c>
      <c r="D36" s="28">
        <v>142.32400000000001</v>
      </c>
      <c r="E36" s="28" t="s">
        <v>53</v>
      </c>
      <c r="F36" s="87">
        <v>0.1</v>
      </c>
      <c r="G36" s="88">
        <f t="shared" si="8"/>
        <v>156.55640000000002</v>
      </c>
      <c r="H36" s="88">
        <v>0.23499999999999999</v>
      </c>
      <c r="I36" s="89">
        <v>63.5</v>
      </c>
      <c r="J36" s="88">
        <f t="shared" si="9"/>
        <v>36.790754000000007</v>
      </c>
      <c r="K36" s="89">
        <f t="shared" si="10"/>
        <v>2336.2128790000006</v>
      </c>
      <c r="L36" s="89">
        <v>32.25</v>
      </c>
      <c r="M36" s="89">
        <f t="shared" si="11"/>
        <v>5048.9439000000011</v>
      </c>
      <c r="N36" s="89">
        <v>0</v>
      </c>
      <c r="O36" s="89">
        <f t="shared" si="12"/>
        <v>0</v>
      </c>
      <c r="P36" s="89">
        <f t="shared" si="13"/>
        <v>7385.1567790000017</v>
      </c>
    </row>
    <row r="37" spans="1:16" s="3" customFormat="1" ht="28.5" x14ac:dyDescent="0.2">
      <c r="A37" s="98">
        <f>IF(D37=0,"",1+MAX(A$12:A36))</f>
        <v>22</v>
      </c>
      <c r="B37" s="30"/>
      <c r="C37" s="55" t="s">
        <v>78</v>
      </c>
      <c r="D37" s="28">
        <v>75.697599999999994</v>
      </c>
      <c r="E37" s="28" t="s">
        <v>53</v>
      </c>
      <c r="F37" s="87">
        <v>0.1</v>
      </c>
      <c r="G37" s="88">
        <f t="shared" si="8"/>
        <v>83.267359999999996</v>
      </c>
      <c r="H37" s="88">
        <v>0.105</v>
      </c>
      <c r="I37" s="89">
        <v>63.5</v>
      </c>
      <c r="J37" s="88">
        <f t="shared" si="9"/>
        <v>8.7430727999999984</v>
      </c>
      <c r="K37" s="89">
        <f t="shared" si="10"/>
        <v>555.18512279999993</v>
      </c>
      <c r="L37" s="89">
        <v>7.83</v>
      </c>
      <c r="M37" s="89">
        <f t="shared" si="11"/>
        <v>651.98342879999996</v>
      </c>
      <c r="N37" s="89">
        <v>0</v>
      </c>
      <c r="O37" s="89">
        <f t="shared" si="12"/>
        <v>0</v>
      </c>
      <c r="P37" s="89">
        <f t="shared" si="13"/>
        <v>1207.1685515999998</v>
      </c>
    </row>
    <row r="38" spans="1:16" s="3" customFormat="1" ht="28.5" x14ac:dyDescent="0.2">
      <c r="A38" s="98">
        <f>IF(D38=0,"",1+MAX(A$12:A37))</f>
        <v>23</v>
      </c>
      <c r="B38" s="30"/>
      <c r="C38" s="55" t="s">
        <v>79</v>
      </c>
      <c r="D38" s="28">
        <v>150.45679999999999</v>
      </c>
      <c r="E38" s="28" t="s">
        <v>53</v>
      </c>
      <c r="F38" s="87">
        <v>0.1</v>
      </c>
      <c r="G38" s="88">
        <f t="shared" si="8"/>
        <v>165.50247999999999</v>
      </c>
      <c r="H38" s="88">
        <v>0.11600000000000001</v>
      </c>
      <c r="I38" s="89">
        <v>63.5</v>
      </c>
      <c r="J38" s="88">
        <f t="shared" si="9"/>
        <v>19.19828768</v>
      </c>
      <c r="K38" s="89">
        <f t="shared" si="10"/>
        <v>1219.0912676800001</v>
      </c>
      <c r="L38" s="89">
        <v>8.43</v>
      </c>
      <c r="M38" s="89">
        <f t="shared" si="11"/>
        <v>1395.1859063999998</v>
      </c>
      <c r="N38" s="89">
        <v>0</v>
      </c>
      <c r="O38" s="89">
        <f t="shared" si="12"/>
        <v>0</v>
      </c>
      <c r="P38" s="89">
        <f t="shared" si="13"/>
        <v>2614.2771740799999</v>
      </c>
    </row>
    <row r="39" spans="1:16" s="3" customFormat="1" ht="15" x14ac:dyDescent="0.2">
      <c r="A39" s="86" t="str">
        <f>IF(E39=0,"",1+MAX(A20:A23))</f>
        <v/>
      </c>
      <c r="B39" s="29"/>
      <c r="C39" s="80" t="s">
        <v>80</v>
      </c>
      <c r="D39" s="28"/>
      <c r="E39" s="28"/>
      <c r="F39" s="87"/>
      <c r="G39" s="88"/>
      <c r="H39" s="88"/>
      <c r="I39" s="89"/>
      <c r="J39" s="88"/>
      <c r="K39" s="89"/>
      <c r="L39" s="89"/>
      <c r="M39" s="89"/>
      <c r="N39" s="89"/>
      <c r="O39" s="89"/>
      <c r="P39" s="89"/>
    </row>
    <row r="40" spans="1:16" s="3" customFormat="1" ht="71.25" x14ac:dyDescent="0.2">
      <c r="A40" s="27">
        <f>IF(D40=0,"",1+MAX(A$12:A39))</f>
        <v>24</v>
      </c>
      <c r="B40" s="30"/>
      <c r="C40" s="55" t="s">
        <v>81</v>
      </c>
      <c r="D40" s="28">
        <v>353.64</v>
      </c>
      <c r="E40" s="28" t="s">
        <v>53</v>
      </c>
      <c r="F40" s="87">
        <v>0.1</v>
      </c>
      <c r="G40" s="88">
        <f t="shared" ref="G40" si="14">(F40*D40)+D40</f>
        <v>389.00399999999996</v>
      </c>
      <c r="H40" s="88">
        <v>0.03</v>
      </c>
      <c r="I40" s="89">
        <v>66.78</v>
      </c>
      <c r="J40" s="88">
        <f t="shared" ref="J40" si="15">H40*G40</f>
        <v>11.670119999999999</v>
      </c>
      <c r="K40" s="89">
        <f t="shared" ref="K40" si="16">I40*J40</f>
        <v>779.33061359999999</v>
      </c>
      <c r="L40" s="89">
        <v>1.7483333333333333</v>
      </c>
      <c r="M40" s="89">
        <f t="shared" ref="M40" si="17">L40*G40</f>
        <v>680.10865999999987</v>
      </c>
      <c r="N40" s="89">
        <v>0</v>
      </c>
      <c r="O40" s="89">
        <f t="shared" ref="O40" si="18">N40*G40</f>
        <v>0</v>
      </c>
      <c r="P40" s="89">
        <f t="shared" ref="P40" si="19">IF(D40="","",(K40+M40+O40))</f>
        <v>1459.4392736</v>
      </c>
    </row>
    <row r="41" spans="1:16" s="3" customFormat="1" ht="15" x14ac:dyDescent="0.2">
      <c r="A41" s="86" t="str">
        <f>IF(E41=0,"",1+MAX(A20:A40))</f>
        <v/>
      </c>
      <c r="B41" s="29"/>
      <c r="C41" s="80" t="s">
        <v>62</v>
      </c>
      <c r="D41" s="28"/>
      <c r="E41" s="28"/>
      <c r="F41" s="87" t="s">
        <v>63</v>
      </c>
      <c r="G41" s="88"/>
      <c r="H41" s="88"/>
      <c r="I41" s="89"/>
      <c r="J41" s="88"/>
      <c r="K41" s="89"/>
      <c r="L41" s="89"/>
      <c r="M41" s="89"/>
      <c r="N41" s="89"/>
      <c r="O41" s="89"/>
      <c r="P41" s="89"/>
    </row>
    <row r="42" spans="1:16" s="3" customFormat="1" ht="15" x14ac:dyDescent="0.2">
      <c r="A42" s="31">
        <f>IF(D42=0,"",1+MAX(A$12:A41))</f>
        <v>25</v>
      </c>
      <c r="B42" s="29"/>
      <c r="C42" s="55" t="s">
        <v>82</v>
      </c>
      <c r="D42" s="28">
        <v>35.380000000000003</v>
      </c>
      <c r="E42" s="28" t="s">
        <v>57</v>
      </c>
      <c r="F42" s="87">
        <v>0.1</v>
      </c>
      <c r="G42" s="88">
        <f t="shared" ref="G42:G43" si="20">(F42*D42)+D42</f>
        <v>38.918000000000006</v>
      </c>
      <c r="H42" s="88">
        <v>0.125</v>
      </c>
      <c r="I42" s="89">
        <v>66.78</v>
      </c>
      <c r="J42" s="88">
        <f t="shared" ref="J42:J43" si="21">H42*G42</f>
        <v>4.8647500000000008</v>
      </c>
      <c r="K42" s="89">
        <f t="shared" ref="K42:K43" si="22">I42*J42</f>
        <v>324.86800500000004</v>
      </c>
      <c r="L42" s="89">
        <v>23.85</v>
      </c>
      <c r="M42" s="89">
        <f t="shared" ref="M42:M43" si="23">L42*G42</f>
        <v>928.19430000000023</v>
      </c>
      <c r="N42" s="89">
        <v>0</v>
      </c>
      <c r="O42" s="89">
        <f t="shared" ref="O42:O43" si="24">N42*G42</f>
        <v>0</v>
      </c>
      <c r="P42" s="89">
        <f t="shared" ref="P42:P43" si="25">IF(D42="","",(K42+M42+O42))</f>
        <v>1253.0623050000004</v>
      </c>
    </row>
    <row r="43" spans="1:16" s="3" customFormat="1" ht="57" x14ac:dyDescent="0.2">
      <c r="A43" s="31">
        <f>IF(D43=0,"",1+MAX(A$12:A42))</f>
        <v>26</v>
      </c>
      <c r="B43" s="29"/>
      <c r="C43" s="55" t="s">
        <v>83</v>
      </c>
      <c r="D43" s="28">
        <v>382.19</v>
      </c>
      <c r="E43" s="28" t="s">
        <v>53</v>
      </c>
      <c r="F43" s="87">
        <v>0.1</v>
      </c>
      <c r="G43" s="88">
        <f t="shared" si="20"/>
        <v>420.40899999999999</v>
      </c>
      <c r="H43" s="88">
        <v>0.28899999999999998</v>
      </c>
      <c r="I43" s="89">
        <v>66.78</v>
      </c>
      <c r="J43" s="88">
        <f t="shared" si="21"/>
        <v>121.49820099999999</v>
      </c>
      <c r="K43" s="89">
        <f t="shared" si="22"/>
        <v>8113.6498627800001</v>
      </c>
      <c r="L43" s="89">
        <v>40.94</v>
      </c>
      <c r="M43" s="89">
        <f t="shared" si="23"/>
        <v>17211.544459999997</v>
      </c>
      <c r="N43" s="89">
        <v>0</v>
      </c>
      <c r="O43" s="89">
        <f t="shared" si="24"/>
        <v>0</v>
      </c>
      <c r="P43" s="89">
        <f t="shared" si="25"/>
        <v>25325.194322779997</v>
      </c>
    </row>
    <row r="44" spans="1:16" s="96" customFormat="1" ht="18" customHeight="1" x14ac:dyDescent="0.2">
      <c r="A44" s="108" t="str">
        <f>IF(E44=0,"",1+MAX(A22:A42))</f>
        <v/>
      </c>
      <c r="B44" s="109"/>
      <c r="C44" s="110"/>
      <c r="D44" s="111"/>
      <c r="E44" s="111"/>
      <c r="F44" s="111"/>
      <c r="G44" s="112"/>
      <c r="H44" s="111"/>
      <c r="I44" s="111"/>
      <c r="J44" s="111"/>
      <c r="K44" s="111"/>
      <c r="L44" s="111"/>
      <c r="M44" s="111"/>
      <c r="N44" s="111"/>
      <c r="O44" s="111" t="s">
        <v>24</v>
      </c>
      <c r="P44" s="113">
        <f>SUM(P21:P43)</f>
        <v>57070.597180559998</v>
      </c>
    </row>
    <row r="45" spans="1:16" ht="18" customHeight="1" x14ac:dyDescent="0.2">
      <c r="A45" s="133"/>
      <c r="B45" s="134"/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71"/>
      <c r="O45" s="71"/>
      <c r="P45" s="26"/>
    </row>
    <row r="46" spans="1:16" s="97" customFormat="1" ht="20.100000000000001" customHeight="1" x14ac:dyDescent="0.2">
      <c r="A46" s="137" t="s">
        <v>12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15"/>
      <c r="P46" s="116">
        <f>SUM(P11:P45)/2</f>
        <v>64963.460770631449</v>
      </c>
    </row>
    <row r="47" spans="1:16" s="97" customFormat="1" ht="20.100000000000001" customHeight="1" x14ac:dyDescent="0.2">
      <c r="A47" s="137" t="s">
        <v>20</v>
      </c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15">
        <v>0.2</v>
      </c>
      <c r="P47" s="116">
        <f>$P$46*O47</f>
        <v>12992.692154126291</v>
      </c>
    </row>
    <row r="48" spans="1:16" s="97" customFormat="1" ht="20.100000000000001" customHeight="1" x14ac:dyDescent="0.2">
      <c r="A48" s="137" t="s">
        <v>5</v>
      </c>
      <c r="B48" s="138"/>
      <c r="C48" s="138"/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15">
        <v>0.03</v>
      </c>
      <c r="P48" s="116">
        <f>$P$46*O48</f>
        <v>1948.9038231189434</v>
      </c>
    </row>
    <row r="49" spans="1:16" s="97" customFormat="1" ht="20.100000000000001" customHeight="1" x14ac:dyDescent="0.2">
      <c r="A49" s="137" t="s">
        <v>18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15">
        <v>0.05</v>
      </c>
      <c r="P49" s="116">
        <f>$P$46*O49</f>
        <v>3248.1730385315727</v>
      </c>
    </row>
    <row r="50" spans="1:16" s="96" customFormat="1" ht="20.100000000000001" customHeight="1" x14ac:dyDescent="0.2">
      <c r="A50" s="135" t="s">
        <v>13</v>
      </c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17"/>
      <c r="O50" s="117"/>
      <c r="P50" s="118">
        <f>SUM(P46:P49)</f>
        <v>83153.229786408265</v>
      </c>
    </row>
    <row r="51" spans="1:16" ht="20.100000000000001" customHeight="1" x14ac:dyDescent="0.2">
      <c r="A51" s="69" t="s">
        <v>39</v>
      </c>
      <c r="B51" s="11"/>
      <c r="C51" s="32"/>
      <c r="D51" s="33"/>
      <c r="E51" s="32"/>
      <c r="F51" s="33"/>
      <c r="G51" s="50"/>
      <c r="H51" s="32"/>
      <c r="I51" s="32"/>
      <c r="J51" s="32"/>
      <c r="K51" s="32"/>
      <c r="L51" s="32"/>
      <c r="M51" s="32"/>
      <c r="N51" s="32"/>
      <c r="O51" s="32"/>
      <c r="P51" s="34"/>
    </row>
    <row r="52" spans="1:16" ht="30" customHeight="1" x14ac:dyDescent="0.2">
      <c r="A52" s="65"/>
      <c r="B52" s="131" t="s">
        <v>60</v>
      </c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54"/>
    </row>
    <row r="53" spans="1:16" ht="20.100000000000001" customHeight="1" x14ac:dyDescent="0.2">
      <c r="A53" s="65"/>
      <c r="B53" s="66"/>
      <c r="C53" s="67"/>
      <c r="D53" s="68"/>
      <c r="E53" s="32"/>
      <c r="F53" s="33"/>
      <c r="G53" s="50"/>
      <c r="H53" s="32"/>
      <c r="I53" s="32"/>
      <c r="J53" s="32"/>
      <c r="K53" s="32"/>
      <c r="L53" s="32"/>
      <c r="M53" s="32"/>
      <c r="N53" s="32"/>
      <c r="O53" s="32"/>
      <c r="P53" s="34"/>
    </row>
    <row r="54" spans="1:16" ht="20.100000000000001" customHeight="1" x14ac:dyDescent="0.2">
      <c r="A54" s="65"/>
      <c r="C54" s="72" t="s">
        <v>42</v>
      </c>
      <c r="D54" s="7"/>
      <c r="F54" s="32"/>
      <c r="G54" s="32"/>
      <c r="H54" s="32"/>
      <c r="M54" s="72" t="s">
        <v>43</v>
      </c>
      <c r="N54" s="33"/>
      <c r="O54" s="32"/>
      <c r="P54" s="34"/>
    </row>
    <row r="55" spans="1:16" ht="19.7" customHeight="1" x14ac:dyDescent="0.2">
      <c r="A55" s="73"/>
      <c r="B55" s="7">
        <v>1</v>
      </c>
      <c r="C55" s="74" t="s">
        <v>44</v>
      </c>
      <c r="D55" s="7"/>
      <c r="F55" s="32"/>
      <c r="G55" s="32"/>
      <c r="H55" s="32"/>
      <c r="M55" s="75" t="s">
        <v>52</v>
      </c>
      <c r="N55" s="33"/>
      <c r="O55" s="32"/>
      <c r="P55" s="54"/>
    </row>
    <row r="56" spans="1:16" ht="20.100000000000001" customHeight="1" x14ac:dyDescent="0.2">
      <c r="A56" s="65"/>
      <c r="C56" s="75"/>
      <c r="D56" s="75"/>
      <c r="F56" s="32"/>
      <c r="G56" s="32"/>
      <c r="H56" s="32"/>
      <c r="M56" s="75" t="s">
        <v>45</v>
      </c>
      <c r="N56" s="33"/>
      <c r="O56" s="32"/>
      <c r="P56" s="54"/>
    </row>
    <row r="57" spans="1:16" ht="20.100000000000001" customHeight="1" x14ac:dyDescent="0.2">
      <c r="A57" s="65"/>
      <c r="D57" s="68"/>
      <c r="F57" s="32"/>
      <c r="G57" s="32"/>
      <c r="H57" s="32"/>
      <c r="M57" s="75" t="s">
        <v>46</v>
      </c>
      <c r="N57" s="76"/>
      <c r="O57" s="32"/>
      <c r="P57" s="34"/>
    </row>
    <row r="58" spans="1:16" ht="20.100000000000001" customHeight="1" x14ac:dyDescent="0.2">
      <c r="A58" s="65"/>
      <c r="C58" s="77"/>
      <c r="D58" s="68"/>
      <c r="F58" s="32"/>
      <c r="G58" s="32"/>
      <c r="H58" s="32"/>
      <c r="M58" s="75" t="s">
        <v>47</v>
      </c>
      <c r="N58" s="14"/>
      <c r="O58" s="32"/>
      <c r="P58" s="34"/>
    </row>
    <row r="59" spans="1:16" ht="20.100000000000001" customHeight="1" x14ac:dyDescent="0.2">
      <c r="A59" s="65"/>
      <c r="D59" s="68"/>
      <c r="F59" s="32"/>
      <c r="G59" s="32"/>
      <c r="H59" s="32"/>
      <c r="M59" s="75" t="s">
        <v>48</v>
      </c>
      <c r="N59" s="14"/>
      <c r="O59" s="32"/>
      <c r="P59" s="54"/>
    </row>
    <row r="60" spans="1:16" ht="20.100000000000001" customHeight="1" x14ac:dyDescent="0.2">
      <c r="A60" s="65"/>
      <c r="C60" s="67"/>
      <c r="D60" s="68"/>
      <c r="J60" s="32"/>
      <c r="K60" s="32"/>
      <c r="L60" s="32"/>
      <c r="M60" s="75" t="s">
        <v>49</v>
      </c>
      <c r="N60" s="14"/>
      <c r="O60" s="32"/>
      <c r="P60" s="54"/>
    </row>
    <row r="61" spans="1:16" ht="20.100000000000001" customHeight="1" x14ac:dyDescent="0.2">
      <c r="A61" s="65"/>
      <c r="C61" s="67"/>
      <c r="D61" s="68"/>
      <c r="J61" s="32"/>
      <c r="K61" s="32"/>
      <c r="L61" s="32"/>
      <c r="M61" s="75" t="s">
        <v>50</v>
      </c>
      <c r="N61" s="14"/>
      <c r="O61" s="32"/>
      <c r="P61" s="34"/>
    </row>
    <row r="62" spans="1:16" ht="20.100000000000001" customHeight="1" x14ac:dyDescent="0.2">
      <c r="A62" s="65"/>
      <c r="C62" s="67"/>
      <c r="D62" s="68"/>
      <c r="J62" s="32"/>
      <c r="K62" s="32"/>
      <c r="L62" s="32"/>
      <c r="M62" s="75" t="s">
        <v>51</v>
      </c>
      <c r="N62" s="14"/>
      <c r="O62" s="32"/>
      <c r="P62" s="34"/>
    </row>
    <row r="63" spans="1:16" ht="15.75" customHeight="1" x14ac:dyDescent="0.2">
      <c r="A63" s="65"/>
      <c r="B63" s="66"/>
      <c r="C63" s="67"/>
      <c r="D63" s="68"/>
      <c r="E63" s="32"/>
      <c r="F63" s="33"/>
      <c r="G63" s="50"/>
      <c r="H63" s="32"/>
      <c r="I63" s="32"/>
      <c r="J63" s="32"/>
      <c r="K63" s="32"/>
      <c r="L63" s="32"/>
      <c r="M63" s="32"/>
      <c r="N63" s="32"/>
      <c r="O63" s="32"/>
      <c r="P63" s="54"/>
    </row>
    <row r="64" spans="1:16" ht="15.75" customHeight="1" thickBot="1" x14ac:dyDescent="0.25">
      <c r="A64" s="12"/>
      <c r="B64" s="13"/>
      <c r="C64" s="35"/>
      <c r="D64" s="36"/>
      <c r="E64" s="35"/>
      <c r="F64" s="36"/>
      <c r="G64" s="51"/>
      <c r="H64" s="35"/>
      <c r="I64" s="35"/>
      <c r="J64" s="35"/>
      <c r="K64" s="35"/>
      <c r="L64" s="35"/>
      <c r="M64" s="35"/>
      <c r="N64" s="35"/>
      <c r="O64" s="35"/>
      <c r="P64" s="37"/>
    </row>
  </sheetData>
  <mergeCells count="21">
    <mergeCell ref="B52:O52"/>
    <mergeCell ref="K8:L8"/>
    <mergeCell ref="M5:N5"/>
    <mergeCell ref="M6:N6"/>
    <mergeCell ref="M8:N8"/>
    <mergeCell ref="M7:N7"/>
    <mergeCell ref="A45:M45"/>
    <mergeCell ref="A50:M50"/>
    <mergeCell ref="A46:N46"/>
    <mergeCell ref="A47:N47"/>
    <mergeCell ref="A48:N48"/>
    <mergeCell ref="A49:N49"/>
    <mergeCell ref="B11:O11"/>
    <mergeCell ref="B21:O21"/>
    <mergeCell ref="K3:L3"/>
    <mergeCell ref="M3:N3"/>
    <mergeCell ref="M4:N4"/>
    <mergeCell ref="K4:L4"/>
    <mergeCell ref="K7:L7"/>
    <mergeCell ref="K6:L6"/>
    <mergeCell ref="K5:L5"/>
  </mergeCells>
  <conditionalFormatting sqref="B7">
    <cfRule type="expression" dxfId="0" priority="2">
      <formula>ISBLANK(B7)</formula>
    </cfRule>
  </conditionalFormatting>
  <pageMargins left="0" right="0" top="1" bottom="0" header="0" footer="0"/>
  <pageSetup paperSize="9" scale="1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F1CAE7-969A-4FB3-A559-A8EBBA21487D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</vt:lpstr>
      <vt:lpstr>MATERIAL TAKE-OFF</vt:lpstr>
      <vt:lpstr>'MATERIAL TAKE-OFF'!Print_Area</vt:lpstr>
      <vt:lpstr>'MATERIAL TAKE-OFF'!Print_Titles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Mfbzone</dc:creator>
  <cp:lastModifiedBy>Hp</cp:lastModifiedBy>
  <cp:lastPrinted>2025-12-04T11:18:59Z</cp:lastPrinted>
  <dcterms:created xsi:type="dcterms:W3CDTF">2016-03-30T11:57:46Z</dcterms:created>
  <dcterms:modified xsi:type="dcterms:W3CDTF">2025-12-23T14:51:16Z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{07F1CAE7-969A-4FB3-A559-A8EBBA21487D}</vt:lpwstr>
  </property>
</Properties>
</file>