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0" windowHeight="7425" activeTab="1"/>
  </bookViews>
  <sheets>
    <sheet name="SUMMARY" sheetId="3" r:id="rId1"/>
    <sheet name="MATERIAL TAKE-OFF" sheetId="1" r:id="rId2"/>
  </sheets>
  <definedNames>
    <definedName name="_xlnm._FilterDatabase" localSheetId="1" hidden="1">'MATERIAL TAKE-OFF'!$A$10:$P$19</definedName>
    <definedName name="_xlnm.Print_Area" localSheetId="1">'MATERIAL TAKE-OFF'!$A$2:$P$108</definedName>
    <definedName name="_xlnm.Print_Titles" localSheetId="1">'MATERIAL TAKE-OFF'!$1:$10</definedName>
  </definedNames>
  <calcPr calcId="145621"/>
  <fileRecoveryPr autoRecover="0"/>
</workbook>
</file>

<file path=xl/calcChain.xml><?xml version="1.0" encoding="utf-8"?>
<calcChain xmlns="http://schemas.openxmlformats.org/spreadsheetml/2006/main">
  <c r="P88" i="1" l="1"/>
  <c r="Q12" i="1" s="1"/>
  <c r="G18" i="1"/>
  <c r="O18" i="1" s="1"/>
  <c r="G17" i="1"/>
  <c r="O17" i="1" s="1"/>
  <c r="G16" i="1"/>
  <c r="O16" i="1" s="1"/>
  <c r="G15" i="1"/>
  <c r="O15" i="1" s="1"/>
  <c r="G14" i="1"/>
  <c r="O14" i="1" s="1"/>
  <c r="G13" i="1"/>
  <c r="O13" i="1" s="1"/>
  <c r="A13" i="1"/>
  <c r="A14" i="1" s="1"/>
  <c r="A15" i="1" s="1"/>
  <c r="A16" i="1" s="1"/>
  <c r="A17" i="1" s="1"/>
  <c r="A18" i="1" s="1"/>
  <c r="G12" i="1"/>
  <c r="O12" i="1" s="1"/>
  <c r="G87" i="1"/>
  <c r="O87" i="1" s="1"/>
  <c r="G85" i="1"/>
  <c r="M85" i="1" s="1"/>
  <c r="G84" i="1"/>
  <c r="J84" i="1" s="1"/>
  <c r="K84" i="1" s="1"/>
  <c r="G82" i="1"/>
  <c r="O82" i="1" s="1"/>
  <c r="O81" i="1"/>
  <c r="G81" i="1"/>
  <c r="M81" i="1" s="1"/>
  <c r="G80" i="1"/>
  <c r="J80" i="1" s="1"/>
  <c r="K80" i="1" s="1"/>
  <c r="O79" i="1"/>
  <c r="M79" i="1"/>
  <c r="J79" i="1"/>
  <c r="K79" i="1" s="1"/>
  <c r="P79" i="1" s="1"/>
  <c r="G79" i="1"/>
  <c r="G78" i="1"/>
  <c r="M78" i="1" s="1"/>
  <c r="G77" i="1"/>
  <c r="O77" i="1" s="1"/>
  <c r="G74" i="1"/>
  <c r="O74" i="1" s="1"/>
  <c r="O73" i="1"/>
  <c r="G73" i="1"/>
  <c r="M73" i="1" s="1"/>
  <c r="D72" i="1"/>
  <c r="G72" i="1" s="1"/>
  <c r="G71" i="1"/>
  <c r="J71" i="1" s="1"/>
  <c r="K71" i="1" s="1"/>
  <c r="O70" i="1"/>
  <c r="G70" i="1"/>
  <c r="J70" i="1" s="1"/>
  <c r="K70" i="1" s="1"/>
  <c r="G68" i="1"/>
  <c r="O68" i="1" s="1"/>
  <c r="G67" i="1"/>
  <c r="O67" i="1" s="1"/>
  <c r="G66" i="1"/>
  <c r="M66" i="1" s="1"/>
  <c r="M65" i="1"/>
  <c r="J65" i="1"/>
  <c r="K65" i="1" s="1"/>
  <c r="G65" i="1"/>
  <c r="O65" i="1" s="1"/>
  <c r="G64" i="1"/>
  <c r="J64" i="1" s="1"/>
  <c r="K64" i="1" s="1"/>
  <c r="O63" i="1"/>
  <c r="M63" i="1"/>
  <c r="G63" i="1"/>
  <c r="J63" i="1" s="1"/>
  <c r="K63" i="1" s="1"/>
  <c r="P63" i="1" s="1"/>
  <c r="G62" i="1"/>
  <c r="O62" i="1" s="1"/>
  <c r="G61" i="1"/>
  <c r="O61" i="1" s="1"/>
  <c r="G60" i="1"/>
  <c r="O60" i="1" s="1"/>
  <c r="G59" i="1"/>
  <c r="O59" i="1" s="1"/>
  <c r="G58" i="1"/>
  <c r="M58" i="1" s="1"/>
  <c r="G57" i="1"/>
  <c r="O57" i="1" s="1"/>
  <c r="D56" i="1"/>
  <c r="G56" i="1" s="1"/>
  <c r="J56" i="1" s="1"/>
  <c r="K56" i="1" s="1"/>
  <c r="G55" i="1"/>
  <c r="J55" i="1" s="1"/>
  <c r="K55" i="1" s="1"/>
  <c r="D54" i="1"/>
  <c r="G54" i="1" s="1"/>
  <c r="G53" i="1"/>
  <c r="O53" i="1" s="1"/>
  <c r="G52" i="1"/>
  <c r="O52" i="1" s="1"/>
  <c r="M51" i="1"/>
  <c r="G51" i="1"/>
  <c r="O51" i="1" s="1"/>
  <c r="D50" i="1"/>
  <c r="G50" i="1" s="1"/>
  <c r="G49" i="1"/>
  <c r="M49" i="1" s="1"/>
  <c r="D47" i="1"/>
  <c r="G47" i="1" s="1"/>
  <c r="G46" i="1"/>
  <c r="O46" i="1" s="1"/>
  <c r="G45" i="1"/>
  <c r="M45" i="1" s="1"/>
  <c r="O44" i="1"/>
  <c r="J44" i="1"/>
  <c r="K44" i="1" s="1"/>
  <c r="G44" i="1"/>
  <c r="M44" i="1" s="1"/>
  <c r="G43" i="1"/>
  <c r="J43" i="1" s="1"/>
  <c r="K43" i="1" s="1"/>
  <c r="D42" i="1"/>
  <c r="G42" i="1" s="1"/>
  <c r="O41" i="1"/>
  <c r="M41" i="1"/>
  <c r="J41" i="1"/>
  <c r="K41" i="1" s="1"/>
  <c r="P41" i="1" s="1"/>
  <c r="G41" i="1"/>
  <c r="G40" i="1"/>
  <c r="J40" i="1" s="1"/>
  <c r="K40" i="1" s="1"/>
  <c r="D40" i="1"/>
  <c r="G39" i="1"/>
  <c r="O39" i="1" s="1"/>
  <c r="D37" i="1"/>
  <c r="G37" i="1" s="1"/>
  <c r="O36" i="1"/>
  <c r="G36" i="1"/>
  <c r="M36" i="1" s="1"/>
  <c r="O35" i="1"/>
  <c r="M35" i="1"/>
  <c r="G35" i="1"/>
  <c r="J35" i="1" s="1"/>
  <c r="K35" i="1" s="1"/>
  <c r="G34" i="1"/>
  <c r="J34" i="1" s="1"/>
  <c r="K34" i="1" s="1"/>
  <c r="O33" i="1"/>
  <c r="J33" i="1"/>
  <c r="K33" i="1" s="1"/>
  <c r="G33" i="1"/>
  <c r="M33" i="1" s="1"/>
  <c r="G32" i="1"/>
  <c r="J32" i="1" s="1"/>
  <c r="K32" i="1" s="1"/>
  <c r="D31" i="1"/>
  <c r="G30" i="1"/>
  <c r="M30" i="1" s="1"/>
  <c r="G29" i="1"/>
  <c r="O29" i="1" s="1"/>
  <c r="J28" i="1"/>
  <c r="K28" i="1" s="1"/>
  <c r="G28" i="1"/>
  <c r="O28" i="1" s="1"/>
  <c r="O27" i="1"/>
  <c r="G27" i="1"/>
  <c r="M27" i="1" s="1"/>
  <c r="G26" i="1"/>
  <c r="J26" i="1" s="1"/>
  <c r="K26" i="1" s="1"/>
  <c r="D25" i="1"/>
  <c r="G25" i="1" s="1"/>
  <c r="D24" i="1"/>
  <c r="G24" i="1" s="1"/>
  <c r="D23" i="1"/>
  <c r="G23" i="1" s="1"/>
  <c r="M12" i="1" l="1"/>
  <c r="M13" i="1"/>
  <c r="M14" i="1"/>
  <c r="M15" i="1"/>
  <c r="M16" i="1"/>
  <c r="M17" i="1"/>
  <c r="M18" i="1"/>
  <c r="M37" i="1"/>
  <c r="O37" i="1"/>
  <c r="M50" i="1"/>
  <c r="O50" i="1"/>
  <c r="M26" i="1"/>
  <c r="O34" i="1"/>
  <c r="J53" i="1"/>
  <c r="K53" i="1" s="1"/>
  <c r="P53" i="1" s="1"/>
  <c r="J57" i="1"/>
  <c r="K57" i="1" s="1"/>
  <c r="P57" i="1" s="1"/>
  <c r="O64" i="1"/>
  <c r="M67" i="1"/>
  <c r="O71" i="1"/>
  <c r="J78" i="1"/>
  <c r="K78" i="1" s="1"/>
  <c r="M80" i="1"/>
  <c r="P80" i="1" s="1"/>
  <c r="O84" i="1"/>
  <c r="O66" i="1"/>
  <c r="M84" i="1"/>
  <c r="P84" i="1" s="1"/>
  <c r="P35" i="1"/>
  <c r="J46" i="1"/>
  <c r="K46" i="1" s="1"/>
  <c r="P46" i="1" s="1"/>
  <c r="M53" i="1"/>
  <c r="M57" i="1"/>
  <c r="J61" i="1"/>
  <c r="K61" i="1" s="1"/>
  <c r="O78" i="1"/>
  <c r="O80" i="1"/>
  <c r="M59" i="1"/>
  <c r="O26" i="1"/>
  <c r="M46" i="1"/>
  <c r="P65" i="1"/>
  <c r="O85" i="1"/>
  <c r="P26" i="1"/>
  <c r="M34" i="1"/>
  <c r="P34" i="1" s="1"/>
  <c r="O45" i="1"/>
  <c r="P33" i="1"/>
  <c r="P44" i="1"/>
  <c r="P70" i="1"/>
  <c r="O49" i="1"/>
  <c r="M71" i="1"/>
  <c r="P71" i="1" s="1"/>
  <c r="J51" i="1"/>
  <c r="K51" i="1" s="1"/>
  <c r="P51" i="1" s="1"/>
  <c r="O58" i="1"/>
  <c r="M70" i="1"/>
  <c r="J87" i="1"/>
  <c r="K87" i="1" s="1"/>
  <c r="M87" i="1"/>
  <c r="J85" i="1"/>
  <c r="K85" i="1" s="1"/>
  <c r="P85" i="1" s="1"/>
  <c r="P78" i="1"/>
  <c r="J77" i="1"/>
  <c r="K77" i="1" s="1"/>
  <c r="M77" i="1"/>
  <c r="J81" i="1"/>
  <c r="K81" i="1" s="1"/>
  <c r="P81" i="1" s="1"/>
  <c r="J82" i="1"/>
  <c r="K82" i="1" s="1"/>
  <c r="M82" i="1"/>
  <c r="M72" i="1"/>
  <c r="J72" i="1"/>
  <c r="K72" i="1" s="1"/>
  <c r="O72" i="1"/>
  <c r="J74" i="1"/>
  <c r="K74" i="1" s="1"/>
  <c r="P74" i="1" s="1"/>
  <c r="J73" i="1"/>
  <c r="K73" i="1" s="1"/>
  <c r="P73" i="1" s="1"/>
  <c r="M74" i="1"/>
  <c r="P61" i="1"/>
  <c r="M54" i="1"/>
  <c r="O54" i="1"/>
  <c r="J54" i="1"/>
  <c r="K54" i="1" s="1"/>
  <c r="P54" i="1" s="1"/>
  <c r="P55" i="1"/>
  <c r="J52" i="1"/>
  <c r="K52" i="1" s="1"/>
  <c r="M55" i="1"/>
  <c r="M56" i="1"/>
  <c r="P56" i="1" s="1"/>
  <c r="J62" i="1"/>
  <c r="K62" i="1" s="1"/>
  <c r="M64" i="1"/>
  <c r="P64" i="1" s="1"/>
  <c r="O56" i="1"/>
  <c r="O55" i="1"/>
  <c r="J49" i="1"/>
  <c r="K49" i="1" s="1"/>
  <c r="J50" i="1"/>
  <c r="K50" i="1" s="1"/>
  <c r="P50" i="1" s="1"/>
  <c r="M52" i="1"/>
  <c r="J60" i="1"/>
  <c r="K60" i="1" s="1"/>
  <c r="M62" i="1"/>
  <c r="J68" i="1"/>
  <c r="K68" i="1" s="1"/>
  <c r="J59" i="1"/>
  <c r="K59" i="1" s="1"/>
  <c r="M61" i="1"/>
  <c r="J67" i="1"/>
  <c r="K67" i="1" s="1"/>
  <c r="P67" i="1" s="1"/>
  <c r="J58" i="1"/>
  <c r="K58" i="1" s="1"/>
  <c r="P58" i="1" s="1"/>
  <c r="M60" i="1"/>
  <c r="J66" i="1"/>
  <c r="K66" i="1" s="1"/>
  <c r="P66" i="1" s="1"/>
  <c r="M68" i="1"/>
  <c r="J42" i="1"/>
  <c r="K42" i="1" s="1"/>
  <c r="O42" i="1"/>
  <c r="M42" i="1"/>
  <c r="P42" i="1" s="1"/>
  <c r="P43" i="1"/>
  <c r="O47" i="1"/>
  <c r="M47" i="1"/>
  <c r="J47" i="1"/>
  <c r="K47" i="1" s="1"/>
  <c r="M43" i="1"/>
  <c r="O43" i="1"/>
  <c r="M39" i="1"/>
  <c r="M40" i="1"/>
  <c r="J39" i="1"/>
  <c r="K39" i="1" s="1"/>
  <c r="O40" i="1"/>
  <c r="J45" i="1"/>
  <c r="K45" i="1" s="1"/>
  <c r="P45" i="1" s="1"/>
  <c r="J23" i="1"/>
  <c r="K23" i="1" s="1"/>
  <c r="O23" i="1"/>
  <c r="M23" i="1"/>
  <c r="J24" i="1"/>
  <c r="K24" i="1" s="1"/>
  <c r="M24" i="1"/>
  <c r="O24" i="1"/>
  <c r="J25" i="1"/>
  <c r="K25" i="1" s="1"/>
  <c r="O25" i="1"/>
  <c r="M25" i="1"/>
  <c r="G31" i="1"/>
  <c r="J30" i="1"/>
  <c r="K30" i="1" s="1"/>
  <c r="J29" i="1"/>
  <c r="K29" i="1" s="1"/>
  <c r="M32" i="1"/>
  <c r="O32" i="1"/>
  <c r="J27" i="1"/>
  <c r="K27" i="1" s="1"/>
  <c r="P27" i="1" s="1"/>
  <c r="M29" i="1"/>
  <c r="O30" i="1"/>
  <c r="J36" i="1"/>
  <c r="K36" i="1" s="1"/>
  <c r="P36" i="1" s="1"/>
  <c r="J37" i="1"/>
  <c r="K37" i="1" s="1"/>
  <c r="M28" i="1"/>
  <c r="P28" i="1" s="1"/>
  <c r="P62" i="1" l="1"/>
  <c r="P60" i="1"/>
  <c r="P40" i="1"/>
  <c r="P30" i="1"/>
  <c r="P59" i="1"/>
  <c r="P49" i="1"/>
  <c r="P32" i="1"/>
  <c r="P37" i="1"/>
  <c r="P87" i="1"/>
  <c r="P77" i="1"/>
  <c r="P82" i="1"/>
  <c r="P72" i="1"/>
  <c r="P68" i="1"/>
  <c r="P52" i="1"/>
  <c r="P39" i="1"/>
  <c r="P47" i="1"/>
  <c r="P29" i="1"/>
  <c r="P23" i="1"/>
  <c r="M31" i="1"/>
  <c r="J31" i="1"/>
  <c r="K31" i="1" s="1"/>
  <c r="O31" i="1"/>
  <c r="P24" i="1"/>
  <c r="P25" i="1"/>
  <c r="P31" i="1" l="1"/>
  <c r="A19" i="1" l="1"/>
  <c r="A20" i="1"/>
  <c r="A21" i="1"/>
  <c r="A22" i="1"/>
  <c r="A88" i="1"/>
  <c r="A23" i="1" l="1"/>
  <c r="A24" i="1" s="1"/>
  <c r="A25" i="1" s="1"/>
  <c r="A26" i="1" l="1"/>
  <c r="C12" i="3"/>
  <c r="D12" i="3" s="1"/>
  <c r="A27" i="1" l="1"/>
  <c r="A28" i="1" l="1"/>
  <c r="A29" i="1" l="1"/>
  <c r="A30" i="1" l="1"/>
  <c r="A31" i="1" l="1"/>
  <c r="A32" i="1" s="1"/>
  <c r="A33" i="1" s="1"/>
  <c r="A34" i="1" s="1"/>
  <c r="A35" i="1"/>
  <c r="A36" i="1"/>
  <c r="A37" i="1" s="1"/>
  <c r="A39" i="1" s="1"/>
  <c r="A40" i="1" s="1"/>
  <c r="A41" i="1" s="1"/>
  <c r="A42" i="1" s="1"/>
  <c r="A43" i="1" s="1"/>
  <c r="A44" i="1" s="1"/>
  <c r="A45" i="1" s="1"/>
  <c r="A46" i="1" s="1"/>
  <c r="A47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70" i="1" s="1"/>
  <c r="A71" i="1" s="1"/>
  <c r="A72" i="1" s="1"/>
  <c r="A73" i="1" s="1"/>
  <c r="A74" i="1" s="1"/>
  <c r="A77" i="1" s="1"/>
  <c r="A78" i="1" s="1"/>
  <c r="A79" i="1" s="1"/>
  <c r="A80" i="1" s="1"/>
  <c r="A81" i="1" s="1"/>
  <c r="A82" i="1" s="1"/>
  <c r="A84" i="1" s="1"/>
  <c r="A85" i="1" s="1"/>
  <c r="A87" i="1" s="1"/>
  <c r="H13" i="1"/>
  <c r="J13" i="1" s="1"/>
  <c r="K13" i="1" s="1"/>
  <c r="P13" i="1" s="1"/>
  <c r="H18" i="1"/>
  <c r="J18" i="1" s="1"/>
  <c r="K18" i="1" s="1"/>
  <c r="P18" i="1" s="1"/>
  <c r="H17" i="1"/>
  <c r="J17" i="1" s="1"/>
  <c r="K17" i="1" s="1"/>
  <c r="P17" i="1" s="1"/>
  <c r="H15" i="1"/>
  <c r="J15" i="1" s="1"/>
  <c r="K15" i="1" s="1"/>
  <c r="P15" i="1" s="1"/>
  <c r="H16" i="1"/>
  <c r="J16" i="1" s="1"/>
  <c r="K16" i="1" s="1"/>
  <c r="P16" i="1" s="1"/>
  <c r="H14" i="1"/>
  <c r="J14" i="1"/>
  <c r="K14" i="1" s="1"/>
  <c r="P14" i="1" s="1"/>
  <c r="H12" i="1"/>
  <c r="J12" i="1" s="1"/>
  <c r="K12" i="1" s="1"/>
  <c r="P12" i="1" s="1"/>
  <c r="P19" i="1" l="1"/>
  <c r="C11" i="3" s="1"/>
  <c r="P90" i="1"/>
  <c r="P93" i="1" l="1"/>
  <c r="P91" i="1"/>
  <c r="P92" i="1"/>
  <c r="P94" i="1"/>
  <c r="D11" i="3"/>
  <c r="D13" i="3" s="1"/>
  <c r="C13" i="3"/>
  <c r="C17" i="3" l="1"/>
  <c r="C15" i="3"/>
  <c r="C18" i="3" s="1"/>
  <c r="C16" i="3"/>
  <c r="D17" i="3"/>
  <c r="D15" i="3"/>
  <c r="D16" i="3"/>
  <c r="D18" i="3" l="1"/>
</calcChain>
</file>

<file path=xl/sharedStrings.xml><?xml version="1.0" encoding="utf-8"?>
<sst xmlns="http://schemas.openxmlformats.org/spreadsheetml/2006/main" count="197" uniqueCount="130">
  <si>
    <t>DESCRIPTION</t>
  </si>
  <si>
    <t>QUANTITY</t>
  </si>
  <si>
    <t>UNIT</t>
  </si>
  <si>
    <t>Mobilization Costs</t>
  </si>
  <si>
    <t>Temporary Control &amp; Facilities</t>
  </si>
  <si>
    <t>INSURANCE</t>
  </si>
  <si>
    <t>LS</t>
  </si>
  <si>
    <t>SR #</t>
  </si>
  <si>
    <t>Supervision and Coordination</t>
  </si>
  <si>
    <t>Final Cleaning</t>
  </si>
  <si>
    <t>Submittals and Shop drawings</t>
  </si>
  <si>
    <t>SUB COST</t>
  </si>
  <si>
    <t>PROJECTED COST</t>
  </si>
  <si>
    <t>SUGGESTED BID</t>
  </si>
  <si>
    <t>Scaffolding</t>
  </si>
  <si>
    <t>DIVISION NO.</t>
  </si>
  <si>
    <t>TOTAL DIV. COST</t>
  </si>
  <si>
    <t>General Requirements</t>
  </si>
  <si>
    <t>CONTINGENCY</t>
  </si>
  <si>
    <t>Date:</t>
  </si>
  <si>
    <t>OVERHEAD AND PROFIT</t>
  </si>
  <si>
    <t>Scope:</t>
  </si>
  <si>
    <t>WASTAGE</t>
  </si>
  <si>
    <t>QUANTITY W/ WASTAGE</t>
  </si>
  <si>
    <t>SUBTOTAL</t>
  </si>
  <si>
    <t>REF</t>
  </si>
  <si>
    <t xml:space="preserve">Project: </t>
  </si>
  <si>
    <t>MATERIAL RATE</t>
  </si>
  <si>
    <t>EQUIPMENT RATE</t>
  </si>
  <si>
    <t>Bond @ 2%</t>
  </si>
  <si>
    <t>SUGGESTED BASE BID</t>
  </si>
  <si>
    <t>No. of Floors:</t>
  </si>
  <si>
    <t>Address:</t>
  </si>
  <si>
    <t>WAGES</t>
  </si>
  <si>
    <t>TOTAL LABOUR COST</t>
  </si>
  <si>
    <t>LABOR HOURS</t>
  </si>
  <si>
    <t>TOTAL LABOR  HOUR</t>
  </si>
  <si>
    <t>TOTAL MATETRIAL COST</t>
  </si>
  <si>
    <t>TOTAL EQUIPMENT COSTS</t>
  </si>
  <si>
    <t>NOTES:</t>
  </si>
  <si>
    <t>Project ID:</t>
  </si>
  <si>
    <t>Note</t>
  </si>
  <si>
    <t>Legend</t>
  </si>
  <si>
    <t>The drawings are scaled as per the mentioned scales on the plans.</t>
  </si>
  <si>
    <r>
      <rPr>
        <b/>
        <sz val="11"/>
        <color rgb="FF000000"/>
        <rFont val="Arial"/>
        <family val="2"/>
      </rPr>
      <t>SF</t>
    </r>
    <r>
      <rPr>
        <sz val="11"/>
        <color rgb="FF000000"/>
        <rFont val="Arial"/>
        <family val="2"/>
      </rPr>
      <t>= Square Feet</t>
    </r>
  </si>
  <si>
    <r>
      <rPr>
        <b/>
        <sz val="11"/>
        <color rgb="FF000000"/>
        <rFont val="Arial"/>
        <family val="2"/>
      </rPr>
      <t>LF</t>
    </r>
    <r>
      <rPr>
        <sz val="11"/>
        <color rgb="FF000000"/>
        <rFont val="Arial"/>
        <family val="2"/>
      </rPr>
      <t xml:space="preserve"> = Linear Feet</t>
    </r>
  </si>
  <si>
    <r>
      <rPr>
        <b/>
        <sz val="11"/>
        <color rgb="FF000000"/>
        <rFont val="Arial"/>
        <family val="2"/>
      </rPr>
      <t>EA</t>
    </r>
    <r>
      <rPr>
        <sz val="11"/>
        <color rgb="FF000000"/>
        <rFont val="Arial"/>
        <family val="2"/>
      </rPr>
      <t xml:space="preserve"> = Each</t>
    </r>
  </si>
  <si>
    <r>
      <rPr>
        <b/>
        <sz val="11"/>
        <color rgb="FF000000"/>
        <rFont val="Arial"/>
        <family val="2"/>
      </rPr>
      <t xml:space="preserve">CY </t>
    </r>
    <r>
      <rPr>
        <sz val="11"/>
        <color rgb="FF000000"/>
        <rFont val="Arial"/>
        <family val="2"/>
      </rPr>
      <t>= Cubic Yard</t>
    </r>
  </si>
  <si>
    <r>
      <rPr>
        <b/>
        <sz val="11"/>
        <color rgb="FF000000"/>
        <rFont val="Arial"/>
        <family val="2"/>
      </rPr>
      <t xml:space="preserve">SY </t>
    </r>
    <r>
      <rPr>
        <sz val="11"/>
        <color rgb="FF000000"/>
        <rFont val="Arial"/>
        <family val="2"/>
      </rPr>
      <t>= Square Yard</t>
    </r>
  </si>
  <si>
    <r>
      <rPr>
        <b/>
        <sz val="11"/>
        <color rgb="FF000000"/>
        <rFont val="Arial"/>
        <family val="2"/>
      </rPr>
      <t>LOC</t>
    </r>
    <r>
      <rPr>
        <sz val="11"/>
        <color rgb="FF000000"/>
        <rFont val="Arial"/>
        <family val="2"/>
      </rPr>
      <t xml:space="preserve"> = Location</t>
    </r>
  </si>
  <si>
    <r>
      <rPr>
        <b/>
        <sz val="11"/>
        <color rgb="FF000000"/>
        <rFont val="Arial"/>
        <family val="2"/>
      </rPr>
      <t xml:space="preserve">LS </t>
    </r>
    <r>
      <rPr>
        <sz val="11"/>
        <color rgb="FF000000"/>
        <rFont val="Arial"/>
        <family val="2"/>
      </rPr>
      <t>= Lum Sum</t>
    </r>
  </si>
  <si>
    <r>
      <rPr>
        <b/>
        <sz val="11"/>
        <color rgb="FF000000"/>
        <rFont val="Arial"/>
        <family val="2"/>
      </rPr>
      <t>LBS</t>
    </r>
    <r>
      <rPr>
        <sz val="11"/>
        <color rgb="FF000000"/>
        <rFont val="Arial"/>
        <family val="2"/>
      </rPr>
      <t xml:space="preserve"> = Pound </t>
    </r>
  </si>
  <si>
    <t>SF</t>
  </si>
  <si>
    <t>Building GSF</t>
  </si>
  <si>
    <t>TOTAL DIV. COST (PER SF)</t>
  </si>
  <si>
    <t>EA</t>
  </si>
  <si>
    <t>LF</t>
  </si>
  <si>
    <t>01. GENERAL REQUIREMENTS</t>
  </si>
  <si>
    <r>
      <rPr>
        <b/>
        <u/>
        <sz val="11"/>
        <color rgb="FFFF0000"/>
        <rFont val="Arial"/>
        <family val="2"/>
      </rPr>
      <t>General Notes:</t>
    </r>
    <r>
      <rPr>
        <sz val="11"/>
        <color rgb="FFFF0000"/>
        <rFont val="Arial"/>
        <family val="2"/>
      </rPr>
      <t xml:space="preserve"> </t>
    </r>
    <r>
      <rPr>
        <sz val="11"/>
        <color theme="1"/>
        <rFont val="Arial"/>
        <family val="2"/>
      </rPr>
      <t>The prices used while preparing the estimate were taken from RSMeans online i.e. the standard pricing. So, it is preferred to review the prices.</t>
    </r>
  </si>
  <si>
    <t>32. EXTERIOR IMPROVEMENTS</t>
  </si>
  <si>
    <t>Pavement &amp; Curbs</t>
  </si>
  <si>
    <t>C2
C3
LP1</t>
  </si>
  <si>
    <t>8'' Masonry Wall (8' H) W/ (203 LF)
Bond Beam (8''x8'')</t>
  </si>
  <si>
    <t>#4 Rebar</t>
  </si>
  <si>
    <t>LBS</t>
  </si>
  <si>
    <t>#6 Rebar</t>
  </si>
  <si>
    <t>Curb Taper</t>
  </si>
  <si>
    <t>Conc. Curb (6'' x 12'')</t>
  </si>
  <si>
    <t>Conc. Curb (6'' x 12'') &amp; Gutter</t>
  </si>
  <si>
    <t>Conc. Curb (8'' x 12'') &amp; Gutter</t>
  </si>
  <si>
    <t xml:space="preserve">(10'' x 4'') Conc. Wheel Stop </t>
  </si>
  <si>
    <t>#3 Rebar</t>
  </si>
  <si>
    <t>Asphalt Pavement w/
1.5'' Asphaltic Surface Course, Type SP With Binder</t>
  </si>
  <si>
    <t>8'' Crushed Conc. Base, LBR 120 Compacted 98% Max. Of Dry Density</t>
  </si>
  <si>
    <t>12'' Stabilized Subgrade, LBR 40 Compacted To 98% Max. Of Dry Density</t>
  </si>
  <si>
    <t>Asphalt Pavement In R.O.W w/
1'' Binder Course &amp; 1'' Wearing Surface</t>
  </si>
  <si>
    <t>8'' Thick Limerock Base Course</t>
  </si>
  <si>
    <t>6'' Conc. Sidewalk (3355 SF)</t>
  </si>
  <si>
    <t>CY</t>
  </si>
  <si>
    <t>Trash Enclosure</t>
  </si>
  <si>
    <t xml:space="preserve">6'' Dia Conc. Filled Bollard (4' H) </t>
  </si>
  <si>
    <t>(18'' Dia x 3' H) Conc. Footing (9 EA)</t>
  </si>
  <si>
    <t xml:space="preserve">5''x5'' Steel Post (6' H) </t>
  </si>
  <si>
    <t>(18'' Dia x 2'-6'' H) Conc. Footing (7 EA)</t>
  </si>
  <si>
    <t>2x4 Steel Bracing</t>
  </si>
  <si>
    <t>2x2x1/4 GA Tabular Steel</t>
  </si>
  <si>
    <t>2x4 Steel Mid Rail</t>
  </si>
  <si>
    <t>Vinyl 1x6 Fence Slats Color SW 7693 Stone Briar (5'-7'' H)</t>
  </si>
  <si>
    <t>6'' Conc. Slab w/ (122 SF)
6''x6''x10x10 WWm</t>
  </si>
  <si>
    <t>Signs/ Signs Footing &amp; Pavement Strips</t>
  </si>
  <si>
    <t>6'' Dia SCH. 40 Steel Pipe Filled w/ Conc. (3' H)
Painted Yellow Traffic</t>
  </si>
  <si>
    <t>(2' Dia x 2'-6'' H) Conc. Footing (6 EA)</t>
  </si>
  <si>
    <t xml:space="preserve">Handicap Accessible Sign </t>
  </si>
  <si>
    <t>Stop Sign</t>
  </si>
  <si>
    <t xml:space="preserve">One-Way Facing West Sign </t>
  </si>
  <si>
    <t>(18'' Dia x 2' H) Conc. Footing (3 EA)</t>
  </si>
  <si>
    <t>(18'' Dia x 3' H) Conc. Footing (6 EA)</t>
  </si>
  <si>
    <t>Traffic Flow Arrow W/ White Reflective Traffic Paint</t>
  </si>
  <si>
    <t>Accessible Parking Logo W/ White Reflective Paint Over
(3'-6'' x 3') Rectangular Shape w/ Blue Paint</t>
  </si>
  <si>
    <t>4'' White Thermoplastic Striping</t>
  </si>
  <si>
    <t>12'' White Thermoplastic Stripes</t>
  </si>
  <si>
    <t>24'' White Thermoplastic Stop Bar</t>
  </si>
  <si>
    <t>4'' Yellow Striping</t>
  </si>
  <si>
    <t>6'' White Parking Lane</t>
  </si>
  <si>
    <t>12'' White Crosswalk Lines</t>
  </si>
  <si>
    <t>4'' Blue Strip</t>
  </si>
  <si>
    <t>Painted Handrail (3' H)</t>
  </si>
  <si>
    <t>Detectable Warning Strip (2' W)</t>
  </si>
  <si>
    <t>MOT (Allowance)</t>
  </si>
  <si>
    <t>Erosion Control</t>
  </si>
  <si>
    <t>(9'-2'' x 10'-6'') Temporary Conc. Washout Area</t>
  </si>
  <si>
    <t xml:space="preserve">Filter Fabric Silt Fence (2'-6'' H) </t>
  </si>
  <si>
    <t>1-1/2'' Dia Wooden Post (3' H)</t>
  </si>
  <si>
    <t>Rock Barrier Bags For Inlet Protection</t>
  </si>
  <si>
    <t>Conztruction Exit Of 3''-6'' Clean Stone w/ Filter Fabric</t>
  </si>
  <si>
    <t>Landscaping</t>
  </si>
  <si>
    <t>Trees</t>
  </si>
  <si>
    <t>CS: Conocarpus Erectus Sericeus_x000D_
Common Name: Silver Buttonwood</t>
  </si>
  <si>
    <t>LS: Lagerstroemia Speciosa_x000D_
Common Name: Queen's Crape Myrtle</t>
  </si>
  <si>
    <t>QV: Quercus Virginiana_x000D_
Common Name: Live Oak</t>
  </si>
  <si>
    <t>SM: Swietenia Mahagoni_x000D_
Common Name: Mahagony</t>
  </si>
  <si>
    <t>TH: Tabebuia Heterophylla_x000D_
Common Name: Pink Tabebuia</t>
  </si>
  <si>
    <t>Shrubs</t>
  </si>
  <si>
    <t>Turf</t>
  </si>
  <si>
    <t>Paspalum Notatum 'Argentine'
Common Name: Argentine Bahiagrass</t>
  </si>
  <si>
    <t>LP: Lantana Montevidensis
Common Name: Trailing Purple Lantana</t>
  </si>
  <si>
    <t>VO: Viburnum Obavatum
Common Name: Walter's Viburnum</t>
  </si>
  <si>
    <t>BS: Bursera Simaruba
Common Name: Gumbo Limbo</t>
  </si>
  <si>
    <t>EXTERIOR IMPROVEMENTS</t>
  </si>
  <si>
    <t>Exterior Improvements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</si>
</sst>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&quot;$&quot;* #,##0.00_);_(&quot;$&quot;* \(#,##0.00\);_(&quot;$&quot;* &quot;-&quot;??_);_(@_)"/>
    <numFmt numFmtId="165" formatCode="&quot;$&quot;#,##0"/>
    <numFmt numFmtId="166" formatCode="_(&quot;$&quot;* #,##0_);_(&quot;$&quot;* \(#,##0\);_(&quot;$&quot;* &quot;-&quot;??_);_(@_)"/>
    <numFmt numFmtId="167" formatCode="[$$-409]#,##0"/>
    <numFmt numFmtId="168" formatCode="&quot;$&quot;#,##0.00"/>
    <numFmt numFmtId="169" formatCode="0.000"/>
  </numFmts>
  <fonts count="27" x14ac:knownFonts="1">
    <font>
      <sz val="11"/>
      <color theme="1"/>
      <name val="Tw Cen MT"/>
      <family val="2"/>
      <scheme val="minor"/>
    </font>
    <font>
      <b/>
      <sz val="12"/>
      <color theme="1"/>
      <name val="Tw Cen MT"/>
      <family val="2"/>
      <scheme val="minor"/>
    </font>
    <font>
      <sz val="11"/>
      <name val="Arial"/>
      <family val="2"/>
    </font>
    <font>
      <sz val="11"/>
      <color theme="1"/>
      <name val="Tw Cen MT"/>
      <family val="2"/>
      <scheme val="minor"/>
    </font>
    <font>
      <sz val="12"/>
      <name val="Arial"/>
      <family val="2"/>
    </font>
    <font>
      <sz val="11"/>
      <color theme="0"/>
      <name val="Tw Cen MT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rgb="FF0000B3"/>
      <name val="Arial"/>
      <family val="2"/>
    </font>
    <font>
      <b/>
      <sz val="11"/>
      <color rgb="FF00B050"/>
      <name val="Arial"/>
      <family val="2"/>
    </font>
    <font>
      <u/>
      <sz val="11"/>
      <color theme="1"/>
      <name val="Arial"/>
      <family val="2"/>
    </font>
    <font>
      <b/>
      <sz val="16"/>
      <color theme="1"/>
      <name val="Tw Cen MT"/>
      <family val="2"/>
      <scheme val="minor"/>
    </font>
    <font>
      <sz val="16"/>
      <color theme="1"/>
      <name val="Tw Cen MT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rgb="FFFF0000"/>
      <name val="Arial"/>
      <family val="2"/>
    </font>
    <font>
      <b/>
      <u/>
      <sz val="11"/>
      <color theme="1"/>
      <name val="Arial"/>
      <family val="2"/>
    </font>
    <font>
      <b/>
      <u/>
      <sz val="11"/>
      <color rgb="FFFF0000"/>
      <name val="Arial"/>
      <family val="2"/>
    </font>
    <font>
      <b/>
      <u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theme="0"/>
      <name val="Arial"/>
      <family val="2"/>
    </font>
    <font>
      <b/>
      <sz val="11"/>
      <color rgb="FF067BC2"/>
      <name val="Arial"/>
      <family val="2"/>
    </font>
    <font>
      <sz val="11"/>
      <color rgb="FF067BC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rgb="FF3366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67BC2"/>
        <bgColor indexed="64"/>
      </patternFill>
    </fill>
    <fill>
      <patternFill patternType="solid">
        <fgColor rgb="FFCF9843"/>
        <bgColor indexed="64"/>
      </patternFill>
    </fill>
    <fill>
      <patternFill patternType="solid">
        <fgColor rgb="FF84BCDA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" fontId="1" fillId="3" borderId="1">
      <alignment horizontal="center" vertical="center"/>
    </xf>
    <xf numFmtId="164" fontId="3" fillId="0" borderId="0" applyFont="0" applyFill="0" applyBorder="0" applyAlignment="0" applyProtection="0"/>
    <xf numFmtId="0" fontId="5" fillId="4" borderId="0" applyNumberFormat="0" applyBorder="0" applyAlignment="0" applyProtection="0"/>
    <xf numFmtId="39" fontId="4" fillId="0" borderId="20">
      <alignment horizontal="left" vertical="center" wrapText="1"/>
    </xf>
    <xf numFmtId="39" fontId="4" fillId="0" borderId="20">
      <alignment horizontal="left" vertical="center" wrapText="1"/>
    </xf>
  </cellStyleXfs>
  <cellXfs count="152">
    <xf numFmtId="0" fontId="0" fillId="0" borderId="0" xfId="0"/>
    <xf numFmtId="0" fontId="2" fillId="3" borderId="3" xfId="0" applyFont="1" applyFill="1" applyBorder="1" applyAlignment="1">
      <alignment horizontal="centerContinuous" vertical="center"/>
    </xf>
    <xf numFmtId="0" fontId="2" fillId="3" borderId="2" xfId="0" applyFont="1" applyFill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0" fontId="7" fillId="3" borderId="0" xfId="0" applyFont="1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9" fillId="3" borderId="10" xfId="0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7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3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right" vertical="center"/>
    </xf>
    <xf numFmtId="165" fontId="7" fillId="0" borderId="10" xfId="0" applyNumberFormat="1" applyFont="1" applyBorder="1" applyAlignment="1">
      <alignment horizontal="right" vertical="center"/>
    </xf>
    <xf numFmtId="0" fontId="7" fillId="0" borderId="11" xfId="0" applyFont="1" applyBorder="1" applyAlignment="1">
      <alignment horizontal="center" vertical="center" wrapText="1"/>
    </xf>
    <xf numFmtId="39" fontId="2" fillId="0" borderId="1" xfId="4" applyFont="1" applyBorder="1" applyAlignment="1">
      <alignment horizontal="center" vertical="center" wrapText="1"/>
    </xf>
    <xf numFmtId="39" fontId="9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Continuous" vertical="center"/>
    </xf>
    <xf numFmtId="0" fontId="2" fillId="0" borderId="18" xfId="0" applyFont="1" applyBorder="1" applyAlignment="1">
      <alignment horizontal="centerContinuous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Continuous" vertical="center"/>
    </xf>
    <xf numFmtId="0" fontId="7" fillId="3" borderId="0" xfId="0" applyFont="1" applyFill="1"/>
    <xf numFmtId="0" fontId="7" fillId="5" borderId="0" xfId="0" applyFont="1" applyFill="1"/>
    <xf numFmtId="0" fontId="7" fillId="6" borderId="0" xfId="0" applyFont="1" applyFill="1"/>
    <xf numFmtId="0" fontId="7" fillId="7" borderId="0" xfId="0" applyFont="1" applyFill="1"/>
    <xf numFmtId="166" fontId="7" fillId="3" borderId="0" xfId="0" applyNumberFormat="1" applyFont="1" applyFill="1"/>
    <xf numFmtId="0" fontId="7" fillId="0" borderId="2" xfId="0" applyFont="1" applyBorder="1" applyAlignment="1">
      <alignment vertical="center"/>
    </xf>
    <xf numFmtId="0" fontId="8" fillId="7" borderId="7" xfId="0" applyFont="1" applyFill="1" applyBorder="1" applyAlignment="1">
      <alignment horizontal="center" vertical="center"/>
    </xf>
    <xf numFmtId="9" fontId="8" fillId="7" borderId="0" xfId="0" applyNumberFormat="1" applyFont="1" applyFill="1" applyAlignment="1">
      <alignment horizontal="center" vertical="center"/>
    </xf>
    <xf numFmtId="2" fontId="7" fillId="2" borderId="2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0" xfId="0" applyNumberFormat="1" applyFont="1" applyFill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18" xfId="0" applyNumberFormat="1" applyFont="1" applyBorder="1" applyAlignment="1">
      <alignment horizontal="center" vertical="center"/>
    </xf>
    <xf numFmtId="2" fontId="7" fillId="3" borderId="0" xfId="0" applyNumberFormat="1" applyFont="1" applyFill="1" applyAlignment="1">
      <alignment horizontal="center" vertical="center"/>
    </xf>
    <xf numFmtId="168" fontId="7" fillId="3" borderId="0" xfId="0" applyNumberFormat="1" applyFont="1" applyFill="1" applyAlignment="1">
      <alignment vertical="center"/>
    </xf>
    <xf numFmtId="168" fontId="2" fillId="0" borderId="10" xfId="0" applyNumberFormat="1" applyFont="1" applyBorder="1" applyAlignment="1">
      <alignment horizontal="centerContinuous" vertical="center"/>
    </xf>
    <xf numFmtId="39" fontId="2" fillId="0" borderId="1" xfId="4" applyFont="1" applyBorder="1">
      <alignment horizontal="left" vertical="center" wrapText="1"/>
    </xf>
    <xf numFmtId="0" fontId="2" fillId="8" borderId="1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left"/>
    </xf>
    <xf numFmtId="166" fontId="8" fillId="3" borderId="10" xfId="0" applyNumberFormat="1" applyFont="1" applyFill="1" applyBorder="1" applyAlignment="1">
      <alignment horizontal="right"/>
    </xf>
    <xf numFmtId="0" fontId="9" fillId="8" borderId="11" xfId="0" applyFont="1" applyFill="1" applyBorder="1" applyAlignment="1">
      <alignment horizontal="center" vertical="center"/>
    </xf>
    <xf numFmtId="166" fontId="7" fillId="7" borderId="10" xfId="2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7" fillId="3" borderId="7" xfId="0" applyFont="1" applyFill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Continuous" vertical="center"/>
    </xf>
    <xf numFmtId="0" fontId="18" fillId="0" borderId="0" xfId="0" applyFont="1" applyAlignment="1">
      <alignment horizontal="center" vertical="center"/>
    </xf>
    <xf numFmtId="0" fontId="19" fillId="0" borderId="7" xfId="0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7" xfId="0" applyFont="1" applyBorder="1"/>
    <xf numFmtId="0" fontId="22" fillId="0" borderId="0" xfId="0" applyFont="1"/>
    <xf numFmtId="0" fontId="22" fillId="0" borderId="0" xfId="0" applyFont="1" applyAlignment="1">
      <alignment horizontal="left" vertical="center"/>
    </xf>
    <xf numFmtId="0" fontId="7" fillId="0" borderId="0" xfId="0" applyFont="1"/>
    <xf numFmtId="0" fontId="23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39" fontId="9" fillId="7" borderId="1" xfId="4" applyFont="1" applyFill="1" applyBorder="1">
      <alignment horizontal="left" vertical="center" wrapText="1"/>
    </xf>
    <xf numFmtId="166" fontId="7" fillId="8" borderId="1" xfId="0" applyNumberFormat="1" applyFont="1" applyFill="1" applyBorder="1"/>
    <xf numFmtId="0" fontId="11" fillId="3" borderId="0" xfId="0" applyFont="1" applyFill="1" applyAlignment="1">
      <alignment horizontal="right" vertical="center"/>
    </xf>
    <xf numFmtId="0" fontId="9" fillId="3" borderId="0" xfId="0" applyFont="1" applyFill="1" applyAlignment="1">
      <alignment horizontal="right" vertical="center"/>
    </xf>
    <xf numFmtId="166" fontId="8" fillId="3" borderId="0" xfId="0" applyNumberFormat="1" applyFont="1" applyFill="1" applyAlignment="1">
      <alignment horizontal="right"/>
    </xf>
    <xf numFmtId="0" fontId="9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168" fontId="7" fillId="0" borderId="1" xfId="0" applyNumberFormat="1" applyFont="1" applyBorder="1" applyAlignment="1">
      <alignment horizontal="center" vertical="center"/>
    </xf>
    <xf numFmtId="0" fontId="9" fillId="8" borderId="25" xfId="0" applyFont="1" applyFill="1" applyBorder="1" applyAlignment="1">
      <alignment horizontal="center" vertical="center"/>
    </xf>
    <xf numFmtId="0" fontId="2" fillId="8" borderId="26" xfId="0" applyFont="1" applyFill="1" applyBorder="1" applyAlignment="1">
      <alignment vertical="center"/>
    </xf>
    <xf numFmtId="166" fontId="7" fillId="8" borderId="26" xfId="0" applyNumberFormat="1" applyFont="1" applyFill="1" applyBorder="1"/>
    <xf numFmtId="164" fontId="7" fillId="8" borderId="27" xfId="0" applyNumberFormat="1" applyFont="1" applyFill="1" applyBorder="1"/>
    <xf numFmtId="164" fontId="7" fillId="8" borderId="12" xfId="0" applyNumberFormat="1" applyFont="1" applyFill="1" applyBorder="1"/>
    <xf numFmtId="0" fontId="6" fillId="0" borderId="0" xfId="0" applyFont="1" applyAlignment="1">
      <alignment vertical="center"/>
    </xf>
    <xf numFmtId="9" fontId="7" fillId="0" borderId="6" xfId="0" applyNumberFormat="1" applyFont="1" applyBorder="1" applyAlignment="1">
      <alignment horizontal="center" vertical="center"/>
    </xf>
    <xf numFmtId="2" fontId="7" fillId="0" borderId="6" xfId="0" applyNumberFormat="1" applyFont="1" applyBorder="1" applyAlignment="1">
      <alignment horizontal="center" vertical="center"/>
    </xf>
    <xf numFmtId="169" fontId="7" fillId="0" borderId="6" xfId="0" applyNumberFormat="1" applyFont="1" applyBorder="1" applyAlignment="1">
      <alignment horizontal="center" vertical="center"/>
    </xf>
    <xf numFmtId="168" fontId="7" fillId="0" borderId="6" xfId="0" applyNumberFormat="1" applyFont="1" applyBorder="1" applyAlignment="1">
      <alignment horizontal="center" vertical="center"/>
    </xf>
    <xf numFmtId="168" fontId="7" fillId="0" borderId="31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2" xfId="0" applyFont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1" fontId="7" fillId="0" borderId="32" xfId="0" applyNumberFormat="1" applyFont="1" applyBorder="1" applyAlignment="1">
      <alignment horizontal="center" vertical="center"/>
    </xf>
    <xf numFmtId="0" fontId="10" fillId="9" borderId="1" xfId="3" applyFont="1" applyFill="1" applyBorder="1" applyAlignment="1">
      <alignment horizontal="center" vertical="center"/>
    </xf>
    <xf numFmtId="0" fontId="10" fillId="9" borderId="11" xfId="3" applyFont="1" applyFill="1" applyBorder="1" applyAlignment="1">
      <alignment horizontal="center" vertical="center"/>
    </xf>
    <xf numFmtId="0" fontId="10" fillId="9" borderId="1" xfId="3" applyFont="1" applyFill="1" applyBorder="1" applyAlignment="1">
      <alignment horizontal="center" vertical="center" wrapText="1"/>
    </xf>
    <xf numFmtId="0" fontId="10" fillId="9" borderId="1" xfId="3" applyNumberFormat="1" applyFont="1" applyFill="1" applyBorder="1" applyAlignment="1">
      <alignment horizontal="center" vertical="center"/>
    </xf>
    <xf numFmtId="2" fontId="10" fillId="9" borderId="1" xfId="3" applyNumberFormat="1" applyFont="1" applyFill="1" applyBorder="1" applyAlignment="1">
      <alignment horizontal="center" vertical="center" wrapText="1"/>
    </xf>
    <xf numFmtId="0" fontId="10" fillId="9" borderId="1" xfId="3" applyNumberFormat="1" applyFont="1" applyFill="1" applyBorder="1" applyAlignment="1">
      <alignment horizontal="center" vertical="center" wrapText="1"/>
    </xf>
    <xf numFmtId="0" fontId="10" fillId="9" borderId="12" xfId="3" applyFont="1" applyFill="1" applyBorder="1" applyAlignment="1">
      <alignment horizontal="center" vertical="center" wrapText="1"/>
    </xf>
    <xf numFmtId="0" fontId="12" fillId="9" borderId="7" xfId="0" applyFont="1" applyFill="1" applyBorder="1" applyAlignment="1">
      <alignment vertical="center"/>
    </xf>
    <xf numFmtId="0" fontId="10" fillId="9" borderId="24" xfId="0" applyFont="1" applyFill="1" applyBorder="1" applyAlignment="1">
      <alignment vertical="center"/>
    </xf>
    <xf numFmtId="9" fontId="24" fillId="9" borderId="5" xfId="0" applyNumberFormat="1" applyFont="1" applyFill="1" applyBorder="1" applyAlignment="1">
      <alignment horizontal="center" vertical="center"/>
    </xf>
    <xf numFmtId="167" fontId="24" fillId="9" borderId="15" xfId="0" applyNumberFormat="1" applyFont="1" applyFill="1" applyBorder="1" applyAlignment="1">
      <alignment horizontal="center" vertical="center"/>
    </xf>
    <xf numFmtId="0" fontId="10" fillId="10" borderId="7" xfId="0" applyFont="1" applyFill="1" applyBorder="1" applyAlignment="1">
      <alignment vertical="center"/>
    </xf>
    <xf numFmtId="0" fontId="10" fillId="10" borderId="0" xfId="0" applyFont="1" applyFill="1" applyAlignment="1">
      <alignment horizontal="center" vertical="center"/>
    </xf>
    <xf numFmtId="0" fontId="10" fillId="10" borderId="0" xfId="0" applyFont="1" applyFill="1" applyAlignment="1">
      <alignment horizontal="left" vertical="center"/>
    </xf>
    <xf numFmtId="0" fontId="10" fillId="10" borderId="0" xfId="0" applyFont="1" applyFill="1" applyAlignment="1">
      <alignment vertical="center"/>
    </xf>
    <xf numFmtId="2" fontId="10" fillId="10" borderId="0" xfId="0" applyNumberFormat="1" applyFont="1" applyFill="1" applyAlignment="1">
      <alignment vertical="center"/>
    </xf>
    <xf numFmtId="168" fontId="10" fillId="10" borderId="10" xfId="0" applyNumberFormat="1" applyFont="1" applyFill="1" applyBorder="1" applyAlignment="1">
      <alignment vertical="center"/>
    </xf>
    <xf numFmtId="0" fontId="8" fillId="11" borderId="4" xfId="0" applyFont="1" applyFill="1" applyBorder="1" applyAlignment="1">
      <alignment horizontal="center" vertical="center"/>
    </xf>
    <xf numFmtId="165" fontId="8" fillId="11" borderId="12" xfId="0" applyNumberFormat="1" applyFont="1" applyFill="1" applyBorder="1" applyAlignment="1">
      <alignment horizontal="center" vertical="center"/>
    </xf>
    <xf numFmtId="0" fontId="7" fillId="0" borderId="34" xfId="0" applyFont="1" applyBorder="1" applyAlignment="1">
      <alignment horizontal="center" vertical="center" wrapText="1"/>
    </xf>
    <xf numFmtId="39" fontId="9" fillId="0" borderId="1" xfId="4" applyFont="1" applyBorder="1">
      <alignment horizontal="left" vertical="center" wrapText="1"/>
    </xf>
    <xf numFmtId="0" fontId="25" fillId="3" borderId="0" xfId="0" applyFont="1" applyFill="1" applyAlignment="1">
      <alignment horizontal="left" vertical="center"/>
    </xf>
    <xf numFmtId="0" fontId="26" fillId="3" borderId="0" xfId="0" applyFont="1" applyFill="1" applyAlignment="1">
      <alignment vertical="center"/>
    </xf>
    <xf numFmtId="0" fontId="10" fillId="9" borderId="28" xfId="0" applyFont="1" applyFill="1" applyBorder="1" applyAlignment="1">
      <alignment horizontal="center" vertical="center"/>
    </xf>
    <xf numFmtId="0" fontId="10" fillId="9" borderId="29" xfId="0" applyFont="1" applyFill="1" applyBorder="1" applyAlignment="1">
      <alignment horizontal="center" vertical="center" wrapText="1"/>
    </xf>
    <xf numFmtId="0" fontId="10" fillId="9" borderId="30" xfId="0" applyFont="1" applyFill="1" applyBorder="1" applyAlignment="1">
      <alignment horizontal="center" vertical="center" wrapText="1"/>
    </xf>
    <xf numFmtId="166" fontId="10" fillId="10" borderId="23" xfId="2" applyNumberFormat="1" applyFont="1" applyFill="1" applyBorder="1" applyAlignment="1">
      <alignment vertical="center"/>
    </xf>
    <xf numFmtId="166" fontId="10" fillId="10" borderId="8" xfId="2" applyNumberFormat="1" applyFont="1" applyFill="1" applyBorder="1" applyAlignment="1">
      <alignment vertical="center"/>
    </xf>
    <xf numFmtId="0" fontId="10" fillId="10" borderId="23" xfId="0" applyFont="1" applyFill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0" fontId="10" fillId="10" borderId="21" xfId="0" applyFont="1" applyFill="1" applyBorder="1" applyAlignment="1">
      <alignment horizontal="center" vertical="center"/>
    </xf>
    <xf numFmtId="0" fontId="10" fillId="10" borderId="22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167" fontId="17" fillId="0" borderId="0" xfId="0" applyNumberFormat="1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11" borderId="16" xfId="0" applyFont="1" applyFill="1" applyBorder="1" applyAlignment="1">
      <alignment horizontal="center" vertical="center"/>
    </xf>
    <xf numFmtId="0" fontId="8" fillId="11" borderId="4" xfId="0" applyFont="1" applyFill="1" applyBorder="1" applyAlignment="1">
      <alignment horizontal="center" vertical="center"/>
    </xf>
    <xf numFmtId="0" fontId="24" fillId="9" borderId="16" xfId="0" applyFont="1" applyFill="1" applyBorder="1" applyAlignment="1">
      <alignment horizontal="right" vertical="center"/>
    </xf>
    <xf numFmtId="0" fontId="24" fillId="9" borderId="4" xfId="0" applyFont="1" applyFill="1" applyBorder="1" applyAlignment="1">
      <alignment horizontal="right" vertical="center"/>
    </xf>
    <xf numFmtId="0" fontId="10" fillId="9" borderId="4" xfId="0" applyFont="1" applyFill="1" applyBorder="1" applyAlignment="1">
      <alignment horizontal="center" vertical="center"/>
    </xf>
    <xf numFmtId="37" fontId="9" fillId="0" borderId="32" xfId="0" applyNumberFormat="1" applyFont="1" applyBorder="1" applyAlignment="1">
      <alignment horizontal="center" vertical="center" wrapText="1"/>
    </xf>
    <xf numFmtId="37" fontId="9" fillId="0" borderId="33" xfId="0" applyNumberFormat="1" applyFont="1" applyBorder="1" applyAlignment="1">
      <alignment horizontal="center" vertical="center" wrapText="1"/>
    </xf>
  </cellXfs>
  <cellStyles count="6">
    <cellStyle name="Accent1" xfId="3" builtinId="29"/>
    <cellStyle name="Currency 2" xfId="2"/>
    <cellStyle name="Normal" xfId="0" builtinId="0"/>
    <cellStyle name="Style 1" xfId="1"/>
    <cellStyle name="takeoffs body style" xfId="4"/>
    <cellStyle name="takeoffs body style 2" xfId="5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CF9843"/>
      <color rgb="FF067BC2"/>
      <color rgb="FF84BCDA"/>
      <color rgb="FF2D2D2D"/>
      <color rgb="FF3366CC"/>
      <color rgb="FF4F81BD"/>
      <color rgb="FF0000B3"/>
      <color rgb="FF00B300"/>
      <color rgb="FFEFF5F5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ln>
                  <a:noFill/>
                </a:ln>
                <a:solidFill>
                  <a:schemeClr val="lt1"/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DIVISION COST COMPARISON</a:t>
            </a:r>
            <a:endParaRPr lang="en-US"/>
          </a:p>
        </c:rich>
      </c:tx>
      <c:layout/>
      <c:overlay val="0"/>
      <c:spPr>
        <a:solidFill>
          <a:srgbClr val="067BC2"/>
        </a:solidFill>
        <a:ln w="19050" cap="flat" cmpd="sng" algn="ctr">
          <a:solidFill>
            <a:schemeClr val="lt1"/>
          </a:solidFill>
          <a:prstDash val="solid"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solidFill>
            <a:schemeClr val="bg1"/>
          </a:solidFill>
        </a:ln>
        <a:effectLst/>
        <a:sp3d>
          <a:contourClr>
            <a:schemeClr val="bg1"/>
          </a:contourClr>
        </a:sp3d>
      </c:spPr>
    </c:sideWall>
    <c:backWall>
      <c:thickness val="0"/>
      <c:spPr>
        <a:noFill/>
        <a:ln>
          <a:solidFill>
            <a:schemeClr val="tx1"/>
          </a:solidFill>
        </a:ln>
        <a:effectLst/>
        <a:sp3d>
          <a:contourClr>
            <a:schemeClr val="tx1"/>
          </a:contourClr>
        </a:sp3d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067BC2"/>
            </a:solidFill>
            <a:ln>
              <a:noFill/>
            </a:ln>
            <a:effectLst/>
            <a:sp3d/>
          </c:spPr>
          <c:invertIfNegative val="0"/>
          <c:cat>
            <c:strRef>
              <c:f>SUMMARY!$B$11:$B$12</c:f>
              <c:strCache>
                <c:ptCount val="2"/>
                <c:pt idx="0">
                  <c:v>General Requirements</c:v>
                </c:pt>
                <c:pt idx="1">
                  <c:v>Exterior Improvements</c:v>
                </c:pt>
              </c:strCache>
            </c:strRef>
          </c:cat>
          <c:val>
            <c:numRef>
              <c:f>SUMMARY!$C$11:$C$12</c:f>
              <c:numCache>
                <c:formatCode>_("$"* #,##0_);_("$"* \(#,##0\);_("$"* "-"??_);_(@_)</c:formatCode>
                <c:ptCount val="2"/>
                <c:pt idx="0">
                  <c:v>25777.329444484199</c:v>
                </c:pt>
                <c:pt idx="1">
                  <c:v>217897.96656368722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C87-48D4-A601-184AA996D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3385600"/>
        <c:axId val="193387136"/>
        <c:axId val="0"/>
      </c:bar3DChart>
      <c:catAx>
        <c:axId val="19338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>
            <a:solidFill>
              <a:schemeClr val="bg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alpha val="83000"/>
                  </a:schemeClr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387136"/>
        <c:crosses val="autoZero"/>
        <c:auto val="1"/>
        <c:lblAlgn val="ctr"/>
        <c:lblOffset val="100"/>
        <c:noMultiLvlLbl val="0"/>
      </c:catAx>
      <c:valAx>
        <c:axId val="193387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alpha val="83000"/>
                  </a:schemeClr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385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1270000" dist="50800" dir="5400000" algn="ctr" rotWithShape="0">
        <a:srgbClr val="000000">
          <a:alpha val="0"/>
        </a:srgbClr>
      </a:outerShdw>
    </a:effectLst>
  </c:spPr>
  <c:txPr>
    <a:bodyPr anchor="ctr" anchorCtr="0"/>
    <a:lstStyle/>
    <a:p>
      <a:pPr>
        <a:defRPr>
          <a:ln>
            <a:noFill/>
          </a:ln>
          <a:solidFill>
            <a:schemeClr val="tx1">
              <a:alpha val="83000"/>
            </a:schemeClr>
          </a:solidFill>
          <a:effectLst>
            <a:glow rad="114300">
              <a:schemeClr val="accent1">
                <a:alpha val="29000"/>
              </a:schemeClr>
            </a:glow>
            <a:outerShdw blurRad="50800" dist="1536700" dir="21540000" algn="ctr" rotWithShape="0">
              <a:srgbClr val="000000">
                <a:alpha val="0"/>
              </a:srgbClr>
            </a:outerShdw>
          </a:effectLst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430653</xdr:colOff>
      <xdr:row>0</xdr:row>
      <xdr:rowOff>103281</xdr:rowOff>
    </xdr:from>
    <xdr:to>
      <xdr:col>3</xdr:col>
      <xdr:colOff>1117820</xdr:colOff>
      <xdr:row>8</xdr:row>
      <xdr:rowOff>3975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1F5C46B-2265-4302-ACE9-A0A447B75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2189" y="103281"/>
          <a:ext cx="2034274" cy="1315837"/>
        </a:xfrm>
        <a:prstGeom prst="rect">
          <a:avLst/>
        </a:prstGeom>
        <a:effectLst>
          <a:outerShdw blurRad="1270000" dist="50800" dir="5400000" sx="200000" sy="200000" algn="ctr" rotWithShape="0">
            <a:srgbClr val="000000">
              <a:alpha val="0"/>
            </a:srgbClr>
          </a:outerShdw>
        </a:effectLst>
      </xdr:spPr>
    </xdr:pic>
    <xdr:clientData/>
  </xdr:twoCellAnchor>
  <xdr:twoCellAnchor>
    <xdr:from>
      <xdr:col>4</xdr:col>
      <xdr:colOff>12370</xdr:colOff>
      <xdr:row>0</xdr:row>
      <xdr:rowOff>37110</xdr:rowOff>
    </xdr:from>
    <xdr:to>
      <xdr:col>11</xdr:col>
      <xdr:colOff>630877</xdr:colOff>
      <xdr:row>17</xdr:row>
      <xdr:rowOff>142502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FB37C3D2-643E-CFBC-D5BA-09F97A94D1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421994</xdr:colOff>
      <xdr:row>0</xdr:row>
      <xdr:rowOff>103281</xdr:rowOff>
    </xdr:from>
    <xdr:to>
      <xdr:col>3</xdr:col>
      <xdr:colOff>1071193</xdr:colOff>
      <xdr:row>8</xdr:row>
      <xdr:rowOff>4320</xdr:rowOff>
    </xdr:to>
    <xdr:pic>
      <xdr:nvPicPr>
        <xdr:cNvPr id="5" name="Picture 4">
          <a:extLst>
            <a:ext uri="{FF2B5EF4-FFF2-40B4-BE49-F238E27FC236}">
              <a16:creationId xmlns="" xmlns:a16="http://schemas.microsoft.com/office/drawing/2014/main" id="{A87D0D47-8E85-A816-FAA2-BC4E7165AD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783" t="24050" r="8740" b="16138"/>
        <a:stretch>
          <a:fillRect/>
        </a:stretch>
      </xdr:blipFill>
      <xdr:spPr>
        <a:xfrm>
          <a:off x="5642189" y="103281"/>
          <a:ext cx="1997543" cy="13854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457200</xdr:colOff>
      <xdr:row>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457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14</xdr:col>
      <xdr:colOff>153940</xdr:colOff>
      <xdr:row>1</xdr:row>
      <xdr:rowOff>86591</xdr:rowOff>
    </xdr:from>
    <xdr:to>
      <xdr:col>15</xdr:col>
      <xdr:colOff>1112394</xdr:colOff>
      <xdr:row>8</xdr:row>
      <xdr:rowOff>115455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A87D0D47-8E85-A816-FAA2-BC4E7165AD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783" t="24050" r="8740" b="16138"/>
        <a:stretch>
          <a:fillRect/>
        </a:stretch>
      </xdr:blipFill>
      <xdr:spPr>
        <a:xfrm>
          <a:off x="14383713" y="86591"/>
          <a:ext cx="1997544" cy="1414319"/>
        </a:xfrm>
        <a:prstGeom prst="rect">
          <a:avLst/>
        </a:prstGeom>
      </xdr:spPr>
    </xdr:pic>
    <xdr:clientData/>
  </xdr:twoCellAnchor>
  <xdr:twoCellAnchor editAs="oneCell">
    <xdr:from>
      <xdr:col>13</xdr:col>
      <xdr:colOff>959416</xdr:colOff>
      <xdr:row>1</xdr:row>
      <xdr:rowOff>86591</xdr:rowOff>
    </xdr:from>
    <xdr:to>
      <xdr:col>15</xdr:col>
      <xdr:colOff>932897</xdr:colOff>
      <xdr:row>8</xdr:row>
      <xdr:rowOff>87944</xdr:rowOff>
    </xdr:to>
    <xdr:pic>
      <xdr:nvPicPr>
        <xdr:cNvPr id="5" name="Picture 4">
          <a:extLst>
            <a:ext uri="{FF2B5EF4-FFF2-40B4-BE49-F238E27FC236}">
              <a16:creationId xmlns="" xmlns:a16="http://schemas.microsoft.com/office/drawing/2014/main" id="{A87D0D47-8E85-A816-FAA2-BC4E7165AD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783" t="24050" r="8740" b="16138"/>
        <a:stretch>
          <a:fillRect/>
        </a:stretch>
      </xdr:blipFill>
      <xdr:spPr>
        <a:xfrm>
          <a:off x="14383713" y="86591"/>
          <a:ext cx="1997543" cy="1385455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ntegral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Integral">
      <a:majorFont>
        <a:latin typeface="Tw Cen MT Condensed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Inte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Integral" id="{3577F8C9-A904-41D8-97D2-FD898F53F20E}" vid="{682D6EBE-8D36-4FF2-9DB3-F3D8D7B6715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66CC"/>
    <pageSetUpPr fitToPage="1"/>
  </sheetPr>
  <dimension ref="A1:D18"/>
  <sheetViews>
    <sheetView view="pageBreakPreview" zoomScale="77" zoomScaleNormal="100" zoomScaleSheetLayoutView="77" workbookViewId="0">
      <pane ySplit="10" topLeftCell="A11" activePane="bottomLeft" state="frozen"/>
      <selection activeCell="N7" sqref="N7"/>
      <selection pane="bottomLeft" activeCell="B3" sqref="B3"/>
    </sheetView>
  </sheetViews>
  <sheetFormatPr defaultColWidth="9" defaultRowHeight="14.25" x14ac:dyDescent="0.2"/>
  <cols>
    <col min="1" max="1" width="23.625" style="36" customWidth="1"/>
    <col min="2" max="2" width="44.875" style="36" customWidth="1"/>
    <col min="3" max="4" width="17.625" style="40" customWidth="1"/>
    <col min="5" max="16384" width="9" style="36"/>
  </cols>
  <sheetData>
    <row r="1" spans="1:4" ht="15" x14ac:dyDescent="0.2">
      <c r="A1" s="55"/>
      <c r="B1" s="41"/>
      <c r="C1" s="79"/>
      <c r="D1" s="56"/>
    </row>
    <row r="2" spans="1:4" ht="15" x14ac:dyDescent="0.2">
      <c r="A2" s="20" t="s">
        <v>40</v>
      </c>
      <c r="B2" s="19"/>
      <c r="C2" s="80"/>
      <c r="D2" s="10"/>
    </row>
    <row r="3" spans="1:4" ht="15" x14ac:dyDescent="0.2">
      <c r="A3" s="20"/>
      <c r="B3" s="19"/>
      <c r="C3" s="80"/>
      <c r="D3" s="10"/>
    </row>
    <row r="4" spans="1:4" ht="15" x14ac:dyDescent="0.2">
      <c r="A4" s="20" t="s">
        <v>32</v>
      </c>
      <c r="B4" s="19"/>
      <c r="C4" s="80"/>
      <c r="D4" s="10"/>
    </row>
    <row r="5" spans="1:4" ht="15" x14ac:dyDescent="0.2">
      <c r="A5" s="20"/>
      <c r="B5" s="19"/>
      <c r="C5" s="80"/>
      <c r="D5" s="10"/>
    </row>
    <row r="6" spans="1:4" ht="15" x14ac:dyDescent="0.2">
      <c r="A6" s="20" t="s">
        <v>31</v>
      </c>
      <c r="B6" s="19">
        <v>2</v>
      </c>
      <c r="C6" s="80"/>
      <c r="D6" s="10"/>
    </row>
    <row r="7" spans="1:4" ht="15" x14ac:dyDescent="0.2">
      <c r="A7" s="20"/>
      <c r="B7" s="82"/>
      <c r="C7" s="80"/>
      <c r="D7" s="10"/>
    </row>
    <row r="8" spans="1:4" ht="15" x14ac:dyDescent="0.2">
      <c r="A8" s="20" t="s">
        <v>53</v>
      </c>
      <c r="B8" s="19">
        <v>2475</v>
      </c>
      <c r="C8" s="80"/>
      <c r="D8" s="10"/>
    </row>
    <row r="9" spans="1:4" ht="15.75" thickBot="1" x14ac:dyDescent="0.3">
      <c r="A9" s="20"/>
      <c r="B9" s="57"/>
      <c r="C9" s="81"/>
      <c r="D9" s="58"/>
    </row>
    <row r="10" spans="1:4" s="37" customFormat="1" ht="30.75" thickBot="1" x14ac:dyDescent="0.25">
      <c r="A10" s="129" t="s">
        <v>15</v>
      </c>
      <c r="B10" s="130" t="s">
        <v>0</v>
      </c>
      <c r="C10" s="130" t="s">
        <v>16</v>
      </c>
      <c r="D10" s="131" t="s">
        <v>54</v>
      </c>
    </row>
    <row r="11" spans="1:4" ht="15" x14ac:dyDescent="0.2">
      <c r="A11" s="87">
        <v>1000</v>
      </c>
      <c r="B11" s="88" t="s">
        <v>17</v>
      </c>
      <c r="C11" s="89">
        <f>'MATERIAL TAKE-OFF'!P19</f>
        <v>25777.329444484199</v>
      </c>
      <c r="D11" s="90">
        <f>C11/$B$8</f>
        <v>10.415082603831999</v>
      </c>
    </row>
    <row r="12" spans="1:4" ht="15" x14ac:dyDescent="0.2">
      <c r="A12" s="59">
        <v>3200</v>
      </c>
      <c r="B12" s="54" t="s">
        <v>129</v>
      </c>
      <c r="C12" s="78">
        <f>'MATERIAL TAKE-OFF'!P88</f>
        <v>217897.96656368722</v>
      </c>
      <c r="D12" s="91">
        <f t="shared" ref="D12" si="0">C12/$B$8</f>
        <v>88.039582449974631</v>
      </c>
    </row>
    <row r="13" spans="1:4" s="38" customFormat="1" ht="15.75" thickBot="1" x14ac:dyDescent="0.25">
      <c r="A13" s="134" t="s">
        <v>12</v>
      </c>
      <c r="B13" s="134"/>
      <c r="C13" s="132">
        <f>SUM(C11:C12)</f>
        <v>243675.29600817143</v>
      </c>
      <c r="D13" s="132">
        <f>SUM(D11:D12)</f>
        <v>98.454665053806636</v>
      </c>
    </row>
    <row r="14" spans="1:4" ht="15.75" thickBot="1" x14ac:dyDescent="0.25">
      <c r="A14" s="135"/>
      <c r="B14" s="135"/>
      <c r="C14" s="135"/>
      <c r="D14" s="135"/>
    </row>
    <row r="15" spans="1:4" s="39" customFormat="1" ht="15" x14ac:dyDescent="0.2">
      <c r="A15" s="42" t="s">
        <v>20</v>
      </c>
      <c r="B15" s="43">
        <v>0.2</v>
      </c>
      <c r="C15" s="60">
        <f>$C$13*B15</f>
        <v>48735.059201634285</v>
      </c>
      <c r="D15" s="60">
        <f>$D$13*B15</f>
        <v>19.690933010761327</v>
      </c>
    </row>
    <row r="16" spans="1:4" s="39" customFormat="1" ht="15" x14ac:dyDescent="0.2">
      <c r="A16" s="42" t="s">
        <v>5</v>
      </c>
      <c r="B16" s="43">
        <v>0.03</v>
      </c>
      <c r="C16" s="60">
        <f>$C$13*B16</f>
        <v>7310.2588802451428</v>
      </c>
      <c r="D16" s="60">
        <f>$D$13*B16</f>
        <v>2.9536399516141989</v>
      </c>
    </row>
    <row r="17" spans="1:4" s="39" customFormat="1" ht="15.75" thickBot="1" x14ac:dyDescent="0.25">
      <c r="A17" s="42" t="s">
        <v>18</v>
      </c>
      <c r="B17" s="43">
        <v>0.05</v>
      </c>
      <c r="C17" s="60">
        <f>$C$13*B17</f>
        <v>12183.764800408571</v>
      </c>
      <c r="D17" s="60">
        <f>$D$13*B17</f>
        <v>4.9227332526903318</v>
      </c>
    </row>
    <row r="18" spans="1:4" s="37" customFormat="1" ht="15.75" thickBot="1" x14ac:dyDescent="0.25">
      <c r="A18" s="136" t="s">
        <v>30</v>
      </c>
      <c r="B18" s="137"/>
      <c r="C18" s="133">
        <f>SUM(C13:C17)</f>
        <v>311904.37889045943</v>
      </c>
      <c r="D18" s="133">
        <f>SUM(D13:D17)</f>
        <v>126.02197126887249</v>
      </c>
    </row>
  </sheetData>
  <mergeCells count="3">
    <mergeCell ref="A13:B13"/>
    <mergeCell ref="A14:D14"/>
    <mergeCell ref="A18:B18"/>
  </mergeCells>
  <conditionalFormatting sqref="B6 B8">
    <cfRule type="expression" dxfId="1" priority="2">
      <formula>ISBLANK(B6)</formula>
    </cfRule>
  </conditionalFormatting>
  <pageMargins left="0" right="0" top="1" bottom="0" header="0" footer="0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S108"/>
  <sheetViews>
    <sheetView showGridLines="0" tabSelected="1" topLeftCell="A2" zoomScale="64" zoomScaleNormal="64" zoomScaleSheetLayoutView="55" workbookViewId="0">
      <pane ySplit="9" topLeftCell="A50" activePane="bottomLeft" state="frozen"/>
      <selection activeCell="N7" sqref="N7"/>
      <selection pane="bottomLeft" activeCell="A89" sqref="A89:M89"/>
    </sheetView>
  </sheetViews>
  <sheetFormatPr defaultColWidth="9" defaultRowHeight="14.25" x14ac:dyDescent="0.2"/>
  <cols>
    <col min="1" max="1" width="8.625" style="7" customWidth="1"/>
    <col min="2" max="2" width="14.5" style="7" customWidth="1"/>
    <col min="3" max="3" width="45.625" style="7" customWidth="1"/>
    <col min="4" max="4" width="10.625" style="14" customWidth="1"/>
    <col min="5" max="5" width="8.375" style="7" customWidth="1"/>
    <col min="6" max="6" width="10.625" style="14" customWidth="1"/>
    <col min="7" max="7" width="12.625" style="50" customWidth="1"/>
    <col min="8" max="12" width="10.625" style="7" customWidth="1"/>
    <col min="13" max="13" width="12.5" style="7" customWidth="1"/>
    <col min="14" max="14" width="12.875" style="7" customWidth="1"/>
    <col min="15" max="15" width="13.625" style="7" customWidth="1"/>
    <col min="16" max="16" width="15.125" style="7" customWidth="1"/>
    <col min="17" max="17" width="11.125" style="7" bestFit="1" customWidth="1"/>
    <col min="18" max="16384" width="9" style="7"/>
  </cols>
  <sheetData>
    <row r="1" spans="1:17" s="3" customFormat="1" ht="15" hidden="1" customHeight="1" x14ac:dyDescent="0.2">
      <c r="A1" s="15"/>
      <c r="B1" s="16"/>
      <c r="C1" s="16"/>
      <c r="D1" s="16"/>
      <c r="E1" s="16"/>
      <c r="F1" s="16"/>
      <c r="G1" s="44"/>
      <c r="H1" s="16"/>
      <c r="I1" s="16"/>
      <c r="J1" s="16"/>
      <c r="K1" s="16"/>
      <c r="L1" s="16"/>
      <c r="M1" s="16"/>
      <c r="N1" s="16"/>
      <c r="O1" s="16"/>
      <c r="P1" s="16"/>
    </row>
    <row r="2" spans="1:17" ht="15" customHeight="1" x14ac:dyDescent="0.2">
      <c r="A2" s="1"/>
      <c r="B2" s="2"/>
      <c r="C2" s="17"/>
      <c r="D2" s="4"/>
      <c r="E2" s="17"/>
      <c r="F2" s="4"/>
      <c r="G2" s="45"/>
      <c r="H2" s="5"/>
      <c r="I2" s="5"/>
      <c r="J2" s="5"/>
      <c r="K2" s="5"/>
      <c r="L2" s="5"/>
      <c r="M2" s="5"/>
      <c r="N2" s="5"/>
      <c r="O2" s="5"/>
      <c r="P2" s="6"/>
    </row>
    <row r="3" spans="1:17" ht="15" customHeight="1" x14ac:dyDescent="0.2">
      <c r="A3" s="18" t="s">
        <v>26</v>
      </c>
      <c r="B3" s="19"/>
      <c r="C3" s="3"/>
      <c r="D3" s="8"/>
      <c r="E3" s="3"/>
      <c r="F3" s="8"/>
      <c r="G3" s="62"/>
      <c r="H3" s="62"/>
      <c r="K3" s="138"/>
      <c r="L3" s="138"/>
      <c r="M3" s="138"/>
      <c r="N3" s="138"/>
      <c r="P3" s="9"/>
    </row>
    <row r="4" spans="1:17" ht="18.600000000000001" customHeight="1" x14ac:dyDescent="0.2">
      <c r="A4" s="18"/>
      <c r="B4" s="19"/>
      <c r="C4" s="3"/>
      <c r="D4" s="8"/>
      <c r="E4" s="3"/>
      <c r="F4" s="8"/>
      <c r="G4" s="61"/>
      <c r="H4" s="76"/>
      <c r="K4" s="140"/>
      <c r="L4" s="140"/>
      <c r="M4" s="139"/>
      <c r="N4" s="140"/>
      <c r="P4" s="9"/>
    </row>
    <row r="5" spans="1:17" ht="15" customHeight="1" x14ac:dyDescent="0.2">
      <c r="A5" s="18" t="s">
        <v>32</v>
      </c>
      <c r="B5" s="19"/>
      <c r="C5" s="3"/>
      <c r="D5" s="8"/>
      <c r="E5" s="3"/>
      <c r="F5" s="8"/>
      <c r="G5" s="61"/>
      <c r="H5" s="76"/>
      <c r="K5" s="140"/>
      <c r="L5" s="140"/>
      <c r="M5" s="142"/>
      <c r="N5" s="140"/>
      <c r="P5" s="9"/>
    </row>
    <row r="6" spans="1:17" ht="15" customHeight="1" x14ac:dyDescent="0.2">
      <c r="A6" s="18"/>
      <c r="B6" s="19"/>
      <c r="C6" s="3"/>
      <c r="D6" s="8"/>
      <c r="E6" s="3"/>
      <c r="F6" s="8"/>
      <c r="G6" s="61"/>
      <c r="H6" s="76"/>
      <c r="K6" s="140"/>
      <c r="L6" s="140"/>
      <c r="M6" s="142"/>
      <c r="N6" s="140"/>
      <c r="P6" s="9"/>
    </row>
    <row r="7" spans="1:17" ht="15" customHeight="1" x14ac:dyDescent="0.2">
      <c r="A7" s="18" t="s">
        <v>21</v>
      </c>
      <c r="B7" s="127" t="s">
        <v>128</v>
      </c>
      <c r="C7" s="128"/>
      <c r="D7" s="8"/>
      <c r="E7" s="3"/>
      <c r="F7" s="8"/>
      <c r="G7" s="46"/>
      <c r="K7" s="140"/>
      <c r="L7" s="140"/>
      <c r="M7" s="142"/>
      <c r="N7" s="140"/>
      <c r="P7" s="9"/>
    </row>
    <row r="8" spans="1:17" ht="15" customHeight="1" x14ac:dyDescent="0.2">
      <c r="A8" s="18"/>
      <c r="B8" s="19"/>
      <c r="C8" s="3"/>
      <c r="D8" s="8"/>
      <c r="E8" s="3"/>
      <c r="F8" s="8"/>
      <c r="G8" s="46"/>
      <c r="K8" s="140"/>
      <c r="L8" s="140"/>
      <c r="M8" s="139"/>
      <c r="N8" s="140"/>
      <c r="P8" s="9"/>
    </row>
    <row r="9" spans="1:17" ht="15" customHeight="1" x14ac:dyDescent="0.2">
      <c r="A9" s="18" t="s">
        <v>19</v>
      </c>
      <c r="B9" s="3"/>
      <c r="C9" s="3"/>
      <c r="D9" s="8"/>
      <c r="E9" s="3"/>
      <c r="F9" s="8"/>
      <c r="G9" s="46"/>
      <c r="P9" s="9"/>
    </row>
    <row r="10" spans="1:17" s="3" customFormat="1" ht="61.35" customHeight="1" x14ac:dyDescent="0.2">
      <c r="A10" s="107" t="s">
        <v>7</v>
      </c>
      <c r="B10" s="108" t="s">
        <v>25</v>
      </c>
      <c r="C10" s="106" t="s">
        <v>0</v>
      </c>
      <c r="D10" s="109" t="s">
        <v>1</v>
      </c>
      <c r="E10" s="106" t="s">
        <v>2</v>
      </c>
      <c r="F10" s="109" t="s">
        <v>22</v>
      </c>
      <c r="G10" s="110" t="s">
        <v>23</v>
      </c>
      <c r="H10" s="111" t="s">
        <v>35</v>
      </c>
      <c r="I10" s="108" t="s">
        <v>33</v>
      </c>
      <c r="J10" s="111" t="s">
        <v>36</v>
      </c>
      <c r="K10" s="108" t="s">
        <v>34</v>
      </c>
      <c r="L10" s="108" t="s">
        <v>27</v>
      </c>
      <c r="M10" s="108" t="s">
        <v>37</v>
      </c>
      <c r="N10" s="108" t="s">
        <v>28</v>
      </c>
      <c r="O10" s="108" t="s">
        <v>38</v>
      </c>
      <c r="P10" s="112" t="s">
        <v>11</v>
      </c>
    </row>
    <row r="11" spans="1:17" s="3" customFormat="1" ht="18" customHeight="1" x14ac:dyDescent="0.2">
      <c r="A11" s="113"/>
      <c r="B11" s="149" t="s">
        <v>57</v>
      </c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14"/>
    </row>
    <row r="12" spans="1:17" ht="18" customHeight="1" x14ac:dyDescent="0.2">
      <c r="A12" s="98">
        <v>1</v>
      </c>
      <c r="B12" s="99"/>
      <c r="C12" s="100" t="s">
        <v>8</v>
      </c>
      <c r="D12" s="99">
        <v>1</v>
      </c>
      <c r="E12" s="99" t="s">
        <v>6</v>
      </c>
      <c r="F12" s="93">
        <v>0</v>
      </c>
      <c r="G12" s="94">
        <f t="shared" ref="G12:G18" si="0">(F12*D12)+D12</f>
        <v>1</v>
      </c>
      <c r="H12" s="95">
        <f>2.5%*$Q$12/I12</f>
        <v>104.337275696077</v>
      </c>
      <c r="I12" s="96">
        <v>52.21</v>
      </c>
      <c r="J12" s="94">
        <f t="shared" ref="J12:J18" si="1">H12*G12</f>
        <v>104.337275696077</v>
      </c>
      <c r="K12" s="96">
        <f t="shared" ref="K12:K18" si="2">I12*J12</f>
        <v>5447.4491640921806</v>
      </c>
      <c r="L12" s="96">
        <v>0</v>
      </c>
      <c r="M12" s="96">
        <f t="shared" ref="M12:M18" si="3">L12*G12</f>
        <v>0</v>
      </c>
      <c r="N12" s="96">
        <v>0</v>
      </c>
      <c r="O12" s="96">
        <f t="shared" ref="O12:O18" si="4">N12*G12</f>
        <v>0</v>
      </c>
      <c r="P12" s="97">
        <f t="shared" ref="P12:P18" si="5">IF(D12="","",(K12+M12+O12))</f>
        <v>5447.4491640921806</v>
      </c>
      <c r="Q12" s="51">
        <f>SUM(P23:P88)/2</f>
        <v>217897.96656368722</v>
      </c>
    </row>
    <row r="13" spans="1:17" ht="18" customHeight="1" x14ac:dyDescent="0.2">
      <c r="A13" s="101">
        <f t="shared" ref="A13:A18" si="6">A12+1</f>
        <v>2</v>
      </c>
      <c r="B13" s="21"/>
      <c r="C13" s="22" t="s">
        <v>10</v>
      </c>
      <c r="D13" s="21">
        <v>1</v>
      </c>
      <c r="E13" s="21" t="s">
        <v>6</v>
      </c>
      <c r="F13" s="93">
        <v>0</v>
      </c>
      <c r="G13" s="94">
        <f t="shared" si="0"/>
        <v>1</v>
      </c>
      <c r="H13" s="95">
        <f>1.65%*$Q$12/I13</f>
        <v>68.862601959410824</v>
      </c>
      <c r="I13" s="96">
        <v>52.21</v>
      </c>
      <c r="J13" s="94">
        <f t="shared" si="1"/>
        <v>68.862601959410824</v>
      </c>
      <c r="K13" s="96">
        <f t="shared" si="2"/>
        <v>3595.3164483008391</v>
      </c>
      <c r="L13" s="96">
        <v>0</v>
      </c>
      <c r="M13" s="96">
        <f t="shared" si="3"/>
        <v>0</v>
      </c>
      <c r="N13" s="96">
        <v>0</v>
      </c>
      <c r="O13" s="96">
        <f t="shared" si="4"/>
        <v>0</v>
      </c>
      <c r="P13" s="97">
        <f t="shared" si="5"/>
        <v>3595.3164483008391</v>
      </c>
    </row>
    <row r="14" spans="1:17" ht="18" customHeight="1" x14ac:dyDescent="0.2">
      <c r="A14" s="101">
        <f t="shared" si="6"/>
        <v>3</v>
      </c>
      <c r="B14" s="21"/>
      <c r="C14" s="22" t="s">
        <v>9</v>
      </c>
      <c r="D14" s="21">
        <v>1</v>
      </c>
      <c r="E14" s="21" t="s">
        <v>6</v>
      </c>
      <c r="F14" s="93">
        <v>0</v>
      </c>
      <c r="G14" s="94">
        <f t="shared" si="0"/>
        <v>1</v>
      </c>
      <c r="H14" s="95">
        <f>0.85%*$Q$12/I14</f>
        <v>35.474673736666183</v>
      </c>
      <c r="I14" s="96">
        <v>52.21</v>
      </c>
      <c r="J14" s="94">
        <f t="shared" si="1"/>
        <v>35.474673736666183</v>
      </c>
      <c r="K14" s="96">
        <f t="shared" si="2"/>
        <v>1852.1327157913415</v>
      </c>
      <c r="L14" s="96">
        <v>0</v>
      </c>
      <c r="M14" s="96">
        <f t="shared" si="3"/>
        <v>0</v>
      </c>
      <c r="N14" s="96">
        <v>0</v>
      </c>
      <c r="O14" s="96">
        <f t="shared" si="4"/>
        <v>0</v>
      </c>
      <c r="P14" s="97">
        <f t="shared" si="5"/>
        <v>1852.1327157913415</v>
      </c>
    </row>
    <row r="15" spans="1:17" ht="18" customHeight="1" x14ac:dyDescent="0.2">
      <c r="A15" s="101">
        <f t="shared" si="6"/>
        <v>4</v>
      </c>
      <c r="B15" s="21"/>
      <c r="C15" s="22" t="s">
        <v>3</v>
      </c>
      <c r="D15" s="21">
        <v>1</v>
      </c>
      <c r="E15" s="21" t="s">
        <v>6</v>
      </c>
      <c r="F15" s="93">
        <v>0</v>
      </c>
      <c r="G15" s="94">
        <f t="shared" si="0"/>
        <v>1</v>
      </c>
      <c r="H15" s="95">
        <f>2.35%*$Q$12/I15</f>
        <v>98.077039154312388</v>
      </c>
      <c r="I15" s="96">
        <v>52.21</v>
      </c>
      <c r="J15" s="94">
        <f t="shared" si="1"/>
        <v>98.077039154312388</v>
      </c>
      <c r="K15" s="96">
        <f t="shared" si="2"/>
        <v>5120.60221424665</v>
      </c>
      <c r="L15" s="96">
        <v>0</v>
      </c>
      <c r="M15" s="96">
        <f t="shared" si="3"/>
        <v>0</v>
      </c>
      <c r="N15" s="96">
        <v>0</v>
      </c>
      <c r="O15" s="96">
        <f t="shared" si="4"/>
        <v>0</v>
      </c>
      <c r="P15" s="97">
        <f t="shared" si="5"/>
        <v>5120.60221424665</v>
      </c>
    </row>
    <row r="16" spans="1:17" ht="18" customHeight="1" x14ac:dyDescent="0.2">
      <c r="A16" s="101">
        <f t="shared" si="6"/>
        <v>5</v>
      </c>
      <c r="B16" s="102"/>
      <c r="C16" s="103" t="s">
        <v>29</v>
      </c>
      <c r="D16" s="102">
        <v>1</v>
      </c>
      <c r="E16" s="102" t="s">
        <v>6</v>
      </c>
      <c r="F16" s="93">
        <v>0</v>
      </c>
      <c r="G16" s="94">
        <f t="shared" si="0"/>
        <v>1</v>
      </c>
      <c r="H16" s="95">
        <f>2%*$Q$12/I16</f>
        <v>83.469820556861606</v>
      </c>
      <c r="I16" s="96">
        <v>52.21</v>
      </c>
      <c r="J16" s="94">
        <f t="shared" si="1"/>
        <v>83.469820556861606</v>
      </c>
      <c r="K16" s="96">
        <f t="shared" si="2"/>
        <v>4357.9593312737443</v>
      </c>
      <c r="L16" s="96">
        <v>0</v>
      </c>
      <c r="M16" s="96">
        <f t="shared" si="3"/>
        <v>0</v>
      </c>
      <c r="N16" s="96">
        <v>0</v>
      </c>
      <c r="O16" s="96">
        <f t="shared" si="4"/>
        <v>0</v>
      </c>
      <c r="P16" s="97">
        <f t="shared" si="5"/>
        <v>4357.9593312737443</v>
      </c>
    </row>
    <row r="17" spans="1:19" ht="18" customHeight="1" x14ac:dyDescent="0.2">
      <c r="A17" s="101">
        <f t="shared" si="6"/>
        <v>6</v>
      </c>
      <c r="B17" s="102"/>
      <c r="C17" s="103" t="s">
        <v>4</v>
      </c>
      <c r="D17" s="102">
        <v>1</v>
      </c>
      <c r="E17" s="102" t="s">
        <v>6</v>
      </c>
      <c r="F17" s="93">
        <v>0</v>
      </c>
      <c r="G17" s="94">
        <f t="shared" si="0"/>
        <v>1</v>
      </c>
      <c r="H17" s="95">
        <f>0.98%*$Q$12/I17</f>
        <v>40.900212072862182</v>
      </c>
      <c r="I17" s="96">
        <v>52.21</v>
      </c>
      <c r="J17" s="94">
        <f t="shared" si="1"/>
        <v>40.900212072862182</v>
      </c>
      <c r="K17" s="96">
        <f t="shared" si="2"/>
        <v>2135.4000723241347</v>
      </c>
      <c r="L17" s="96">
        <v>0</v>
      </c>
      <c r="M17" s="96">
        <f t="shared" si="3"/>
        <v>0</v>
      </c>
      <c r="N17" s="96">
        <v>0</v>
      </c>
      <c r="O17" s="96">
        <f t="shared" si="4"/>
        <v>0</v>
      </c>
      <c r="P17" s="97">
        <f t="shared" si="5"/>
        <v>2135.4000723241347</v>
      </c>
    </row>
    <row r="18" spans="1:19" ht="18" customHeight="1" x14ac:dyDescent="0.2">
      <c r="A18" s="104">
        <f t="shared" si="6"/>
        <v>7</v>
      </c>
      <c r="B18" s="102"/>
      <c r="C18" s="103" t="s">
        <v>14</v>
      </c>
      <c r="D18" s="105">
        <v>1</v>
      </c>
      <c r="E18" s="102" t="s">
        <v>6</v>
      </c>
      <c r="F18" s="93">
        <v>0</v>
      </c>
      <c r="G18" s="94">
        <f t="shared" si="0"/>
        <v>1</v>
      </c>
      <c r="H18" s="95">
        <f>1.5%*$Q$12/I18</f>
        <v>62.602365417646205</v>
      </c>
      <c r="I18" s="96">
        <v>52.21</v>
      </c>
      <c r="J18" s="94">
        <f t="shared" si="1"/>
        <v>62.602365417646205</v>
      </c>
      <c r="K18" s="96">
        <f t="shared" si="2"/>
        <v>3268.4694984553084</v>
      </c>
      <c r="L18" s="96">
        <v>0</v>
      </c>
      <c r="M18" s="96">
        <f t="shared" si="3"/>
        <v>0</v>
      </c>
      <c r="N18" s="96">
        <v>0</v>
      </c>
      <c r="O18" s="96">
        <f t="shared" si="4"/>
        <v>0</v>
      </c>
      <c r="P18" s="97">
        <f t="shared" si="5"/>
        <v>3268.4694984553084</v>
      </c>
      <c r="R18" s="51"/>
      <c r="S18" s="51"/>
    </row>
    <row r="19" spans="1:19" s="3" customFormat="1" ht="18" customHeight="1" x14ac:dyDescent="0.2">
      <c r="A19" s="117" t="str">
        <f>IF(E19=0,"",1+MAX(#REF!))</f>
        <v/>
      </c>
      <c r="B19" s="118"/>
      <c r="C19" s="119"/>
      <c r="D19" s="120"/>
      <c r="E19" s="120"/>
      <c r="F19" s="120"/>
      <c r="G19" s="121"/>
      <c r="H19" s="120"/>
      <c r="I19" s="120"/>
      <c r="J19" s="120"/>
      <c r="K19" s="120"/>
      <c r="L19" s="120"/>
      <c r="M19" s="120"/>
      <c r="N19" s="120"/>
      <c r="O19" s="120" t="s">
        <v>24</v>
      </c>
      <c r="P19" s="122">
        <f>SUM(P12:P18)</f>
        <v>25777.329444484199</v>
      </c>
    </row>
    <row r="20" spans="1:19" ht="18" customHeight="1" x14ac:dyDescent="0.2">
      <c r="A20" s="68" t="str">
        <f>IF(E20=0,"",1+MAX(A19:A19))</f>
        <v/>
      </c>
      <c r="B20" s="69"/>
      <c r="C20" s="23"/>
      <c r="D20" s="24"/>
      <c r="E20" s="23"/>
      <c r="F20" s="24"/>
      <c r="G20" s="47"/>
      <c r="H20" s="11"/>
      <c r="I20" s="25"/>
      <c r="J20" s="11"/>
      <c r="K20" s="25"/>
      <c r="L20" s="25"/>
      <c r="M20" s="25"/>
      <c r="N20" s="25"/>
      <c r="O20" s="25"/>
      <c r="P20" s="26"/>
    </row>
    <row r="21" spans="1:19" s="3" customFormat="1" ht="18" customHeight="1" x14ac:dyDescent="0.2">
      <c r="A21" s="113" t="str">
        <f>IF(E21=0,"",1+MAX(A19:A20))</f>
        <v/>
      </c>
      <c r="B21" s="149" t="s">
        <v>59</v>
      </c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14"/>
    </row>
    <row r="22" spans="1:19" s="3" customFormat="1" ht="15" x14ac:dyDescent="0.2">
      <c r="A22" s="83" t="str">
        <f>IF(E22=0,"",1+MAX(A19:A21))</f>
        <v/>
      </c>
      <c r="B22" s="29"/>
      <c r="C22" s="77" t="s">
        <v>60</v>
      </c>
      <c r="D22" s="28"/>
      <c r="E22" s="28"/>
      <c r="F22" s="84"/>
      <c r="G22" s="85"/>
      <c r="H22" s="85"/>
      <c r="I22" s="86"/>
      <c r="J22" s="85"/>
      <c r="K22" s="86"/>
      <c r="L22" s="86"/>
      <c r="M22" s="86"/>
      <c r="N22" s="86"/>
      <c r="O22" s="86"/>
      <c r="P22" s="86"/>
    </row>
    <row r="23" spans="1:19" ht="13.5" customHeight="1" x14ac:dyDescent="0.2">
      <c r="A23" s="27">
        <f>IF(D23=0,"",1+MAX(A$12:A22))</f>
        <v>8</v>
      </c>
      <c r="B23" s="150" t="s">
        <v>61</v>
      </c>
      <c r="C23" s="53" t="s">
        <v>62</v>
      </c>
      <c r="D23" s="28">
        <f>203*8</f>
        <v>1624</v>
      </c>
      <c r="E23" s="28" t="s">
        <v>52</v>
      </c>
      <c r="F23" s="84">
        <v>0.1</v>
      </c>
      <c r="G23" s="85">
        <f t="shared" ref="G23:G37" si="7">(F23*D23)+D23</f>
        <v>1786.4</v>
      </c>
      <c r="H23" s="85">
        <v>0.215</v>
      </c>
      <c r="I23" s="86">
        <v>47.95</v>
      </c>
      <c r="J23" s="85">
        <f t="shared" ref="J23:J37" si="8">H23*G23</f>
        <v>384.07600000000002</v>
      </c>
      <c r="K23" s="86">
        <f t="shared" ref="K23:K37" si="9">I23*J23</f>
        <v>18416.444200000002</v>
      </c>
      <c r="L23" s="86">
        <v>7.2</v>
      </c>
      <c r="M23" s="86">
        <f t="shared" ref="M23:M37" si="10">L23*G23</f>
        <v>12862.080000000002</v>
      </c>
      <c r="N23" s="86">
        <v>0</v>
      </c>
      <c r="O23" s="86">
        <f t="shared" ref="O23:O37" si="11">N23*G23</f>
        <v>0</v>
      </c>
      <c r="P23" s="86">
        <f t="shared" ref="P23:P37" si="12">IF(D23="","",(K23+M23+O23))</f>
        <v>31278.524200000003</v>
      </c>
      <c r="R23" s="51"/>
      <c r="S23" s="51"/>
    </row>
    <row r="24" spans="1:19" ht="13.5" customHeight="1" x14ac:dyDescent="0.2">
      <c r="A24" s="27">
        <f>IF(D24=0,"",1+MAX(A$12:A23))</f>
        <v>9</v>
      </c>
      <c r="B24" s="151"/>
      <c r="C24" s="53" t="s">
        <v>63</v>
      </c>
      <c r="D24" s="28">
        <f>406*0.668</f>
        <v>271.20800000000003</v>
      </c>
      <c r="E24" s="28" t="s">
        <v>64</v>
      </c>
      <c r="F24" s="84">
        <v>0.1</v>
      </c>
      <c r="G24" s="85">
        <f t="shared" si="7"/>
        <v>298.3288</v>
      </c>
      <c r="H24" s="85">
        <v>0.01</v>
      </c>
      <c r="I24" s="86">
        <v>47.95</v>
      </c>
      <c r="J24" s="85">
        <f t="shared" si="8"/>
        <v>2.9832879999999999</v>
      </c>
      <c r="K24" s="86">
        <f t="shared" si="9"/>
        <v>143.04865960000001</v>
      </c>
      <c r="L24" s="86">
        <v>0.9</v>
      </c>
      <c r="M24" s="86">
        <f t="shared" si="10"/>
        <v>268.49592000000001</v>
      </c>
      <c r="N24" s="86">
        <v>0</v>
      </c>
      <c r="O24" s="86">
        <f t="shared" si="11"/>
        <v>0</v>
      </c>
      <c r="P24" s="86">
        <f t="shared" si="12"/>
        <v>411.54457960000002</v>
      </c>
      <c r="R24" s="51"/>
      <c r="S24" s="51"/>
    </row>
    <row r="25" spans="1:19" ht="13.5" customHeight="1" x14ac:dyDescent="0.2">
      <c r="A25" s="27">
        <f>IF(D25=0,"",1+MAX(A$12:A24))</f>
        <v>10</v>
      </c>
      <c r="B25" s="151"/>
      <c r="C25" s="53" t="s">
        <v>65</v>
      </c>
      <c r="D25" s="28">
        <f>203/2.66*(8)*1.502</f>
        <v>917.01052631578943</v>
      </c>
      <c r="E25" s="28" t="s">
        <v>64</v>
      </c>
      <c r="F25" s="84">
        <v>0.1</v>
      </c>
      <c r="G25" s="85">
        <f t="shared" si="7"/>
        <v>1008.7115789473684</v>
      </c>
      <c r="H25" s="85">
        <v>0.01</v>
      </c>
      <c r="I25" s="86">
        <v>47.95</v>
      </c>
      <c r="J25" s="85">
        <f t="shared" si="8"/>
        <v>10.087115789473684</v>
      </c>
      <c r="K25" s="86">
        <f t="shared" si="9"/>
        <v>483.67720210526318</v>
      </c>
      <c r="L25" s="86">
        <v>0.9</v>
      </c>
      <c r="M25" s="86">
        <f t="shared" si="10"/>
        <v>907.84042105263154</v>
      </c>
      <c r="N25" s="86">
        <v>0</v>
      </c>
      <c r="O25" s="86">
        <f t="shared" si="11"/>
        <v>0</v>
      </c>
      <c r="P25" s="86">
        <f t="shared" si="12"/>
        <v>1391.5176231578948</v>
      </c>
      <c r="R25" s="51"/>
      <c r="S25" s="51"/>
    </row>
    <row r="26" spans="1:19" ht="13.5" customHeight="1" x14ac:dyDescent="0.2">
      <c r="A26" s="27">
        <f>IF(D26=0,"",1+MAX(A$12:A25))</f>
        <v>11</v>
      </c>
      <c r="B26" s="151"/>
      <c r="C26" s="53" t="s">
        <v>66</v>
      </c>
      <c r="D26" s="28">
        <v>13.26</v>
      </c>
      <c r="E26" s="28" t="s">
        <v>56</v>
      </c>
      <c r="F26" s="84">
        <v>0.1</v>
      </c>
      <c r="G26" s="85">
        <f t="shared" si="7"/>
        <v>14.586</v>
      </c>
      <c r="H26" s="85">
        <v>0.105</v>
      </c>
      <c r="I26" s="86">
        <v>47.95</v>
      </c>
      <c r="J26" s="85">
        <f t="shared" si="8"/>
        <v>1.5315300000000001</v>
      </c>
      <c r="K26" s="86">
        <f t="shared" si="9"/>
        <v>73.436863500000001</v>
      </c>
      <c r="L26" s="86">
        <v>4.2450000000000001</v>
      </c>
      <c r="M26" s="86">
        <f t="shared" si="10"/>
        <v>61.917570000000005</v>
      </c>
      <c r="N26" s="86">
        <v>0</v>
      </c>
      <c r="O26" s="86">
        <f t="shared" si="11"/>
        <v>0</v>
      </c>
      <c r="P26" s="86">
        <f t="shared" si="12"/>
        <v>135.3544335</v>
      </c>
      <c r="R26" s="51"/>
      <c r="S26" s="51"/>
    </row>
    <row r="27" spans="1:19" ht="13.5" customHeight="1" x14ac:dyDescent="0.2">
      <c r="A27" s="27">
        <f>IF(D27=0,"",1+MAX(A$12:A26))</f>
        <v>12</v>
      </c>
      <c r="B27" s="151"/>
      <c r="C27" s="53" t="s">
        <v>67</v>
      </c>
      <c r="D27" s="28">
        <v>129.07</v>
      </c>
      <c r="E27" s="28" t="s">
        <v>56</v>
      </c>
      <c r="F27" s="84">
        <v>0.1</v>
      </c>
      <c r="G27" s="85">
        <f t="shared" si="7"/>
        <v>141.977</v>
      </c>
      <c r="H27" s="85">
        <v>0.11</v>
      </c>
      <c r="I27" s="86">
        <v>47.95</v>
      </c>
      <c r="J27" s="85">
        <f t="shared" si="8"/>
        <v>15.617470000000001</v>
      </c>
      <c r="K27" s="86">
        <f t="shared" si="9"/>
        <v>748.85768650000011</v>
      </c>
      <c r="L27" s="86">
        <v>5.18</v>
      </c>
      <c r="M27" s="86">
        <f t="shared" si="10"/>
        <v>735.44085999999993</v>
      </c>
      <c r="N27" s="86">
        <v>0</v>
      </c>
      <c r="O27" s="86">
        <f t="shared" si="11"/>
        <v>0</v>
      </c>
      <c r="P27" s="86">
        <f t="shared" si="12"/>
        <v>1484.2985465000002</v>
      </c>
      <c r="R27" s="51"/>
      <c r="S27" s="51"/>
    </row>
    <row r="28" spans="1:19" ht="13.5" customHeight="1" x14ac:dyDescent="0.2">
      <c r="A28" s="27">
        <f>IF(D28=0,"",1+MAX(A$12:A27))</f>
        <v>13</v>
      </c>
      <c r="B28" s="151"/>
      <c r="C28" s="53" t="s">
        <v>68</v>
      </c>
      <c r="D28" s="28">
        <v>151.27000000000001</v>
      </c>
      <c r="E28" s="28" t="s">
        <v>56</v>
      </c>
      <c r="F28" s="84">
        <v>0.1</v>
      </c>
      <c r="G28" s="85">
        <f t="shared" si="7"/>
        <v>166.39700000000002</v>
      </c>
      <c r="H28" s="85">
        <v>0.26500000000000001</v>
      </c>
      <c r="I28" s="86">
        <v>47.95</v>
      </c>
      <c r="J28" s="85">
        <f t="shared" si="8"/>
        <v>44.095205000000007</v>
      </c>
      <c r="K28" s="86">
        <f t="shared" si="9"/>
        <v>2114.3650797500004</v>
      </c>
      <c r="L28" s="86">
        <v>15.64</v>
      </c>
      <c r="M28" s="86">
        <f t="shared" si="10"/>
        <v>2602.4490800000003</v>
      </c>
      <c r="N28" s="86">
        <v>0</v>
      </c>
      <c r="O28" s="86">
        <f t="shared" si="11"/>
        <v>0</v>
      </c>
      <c r="P28" s="86">
        <f t="shared" si="12"/>
        <v>4716.8141597500007</v>
      </c>
      <c r="R28" s="51"/>
      <c r="S28" s="51"/>
    </row>
    <row r="29" spans="1:19" ht="13.5" customHeight="1" x14ac:dyDescent="0.2">
      <c r="A29" s="27">
        <f>IF(D29=0,"",1+MAX(A$12:A28))</f>
        <v>14</v>
      </c>
      <c r="B29" s="151"/>
      <c r="C29" s="53" t="s">
        <v>69</v>
      </c>
      <c r="D29" s="28">
        <v>69.47</v>
      </c>
      <c r="E29" s="28" t="s">
        <v>56</v>
      </c>
      <c r="F29" s="84">
        <v>0.1</v>
      </c>
      <c r="G29" s="85">
        <f t="shared" si="7"/>
        <v>76.417000000000002</v>
      </c>
      <c r="H29" s="85">
        <v>0.29599999999999999</v>
      </c>
      <c r="I29" s="86">
        <v>47.95</v>
      </c>
      <c r="J29" s="85">
        <f t="shared" si="8"/>
        <v>22.619432</v>
      </c>
      <c r="K29" s="86">
        <f t="shared" si="9"/>
        <v>1084.6017644000001</v>
      </c>
      <c r="L29" s="86">
        <v>19.86</v>
      </c>
      <c r="M29" s="86">
        <f t="shared" si="10"/>
        <v>1517.6416199999999</v>
      </c>
      <c r="N29" s="86">
        <v>0</v>
      </c>
      <c r="O29" s="86">
        <f t="shared" si="11"/>
        <v>0</v>
      </c>
      <c r="P29" s="86">
        <f t="shared" si="12"/>
        <v>2602.2433843999997</v>
      </c>
      <c r="R29" s="51"/>
      <c r="S29" s="51"/>
    </row>
    <row r="30" spans="1:19" ht="13.5" customHeight="1" x14ac:dyDescent="0.2">
      <c r="A30" s="27">
        <f>IF(D30=0,"",1+MAX(A$12:A29))</f>
        <v>15</v>
      </c>
      <c r="B30" s="151"/>
      <c r="C30" s="53" t="s">
        <v>70</v>
      </c>
      <c r="D30" s="28">
        <v>30.02</v>
      </c>
      <c r="E30" s="28" t="s">
        <v>56</v>
      </c>
      <c r="F30" s="84">
        <v>0.1</v>
      </c>
      <c r="G30" s="85">
        <f t="shared" si="7"/>
        <v>33.021999999999998</v>
      </c>
      <c r="H30" s="85">
        <v>0.44800000000000001</v>
      </c>
      <c r="I30" s="86">
        <v>47.95</v>
      </c>
      <c r="J30" s="85">
        <f t="shared" si="8"/>
        <v>14.793856</v>
      </c>
      <c r="K30" s="86">
        <f t="shared" si="9"/>
        <v>709.36539520000008</v>
      </c>
      <c r="L30" s="86">
        <v>31.8325</v>
      </c>
      <c r="M30" s="86">
        <f t="shared" si="10"/>
        <v>1051.1728149999999</v>
      </c>
      <c r="N30" s="86">
        <v>0</v>
      </c>
      <c r="O30" s="86">
        <f t="shared" si="11"/>
        <v>0</v>
      </c>
      <c r="P30" s="86">
        <f t="shared" si="12"/>
        <v>1760.5382101999999</v>
      </c>
      <c r="R30" s="51"/>
      <c r="S30" s="51"/>
    </row>
    <row r="31" spans="1:19" ht="13.5" customHeight="1" x14ac:dyDescent="0.2">
      <c r="A31" s="27">
        <f>IF(D31=0,"",1+MAX(A$12:A30))</f>
        <v>16</v>
      </c>
      <c r="B31" s="151"/>
      <c r="C31" s="53" t="s">
        <v>71</v>
      </c>
      <c r="D31" s="28">
        <f>70*0.376</f>
        <v>26.32</v>
      </c>
      <c r="E31" s="28" t="s">
        <v>64</v>
      </c>
      <c r="F31" s="84">
        <v>0.1</v>
      </c>
      <c r="G31" s="85">
        <f t="shared" si="7"/>
        <v>28.952000000000002</v>
      </c>
      <c r="H31" s="85">
        <v>0.01</v>
      </c>
      <c r="I31" s="86">
        <v>47.95</v>
      </c>
      <c r="J31" s="85">
        <f t="shared" si="8"/>
        <v>0.28952</v>
      </c>
      <c r="K31" s="86">
        <f t="shared" si="9"/>
        <v>13.882484000000002</v>
      </c>
      <c r="L31" s="86">
        <v>0.9</v>
      </c>
      <c r="M31" s="86">
        <f t="shared" si="10"/>
        <v>26.056800000000003</v>
      </c>
      <c r="N31" s="86">
        <v>0</v>
      </c>
      <c r="O31" s="86">
        <f t="shared" si="11"/>
        <v>0</v>
      </c>
      <c r="P31" s="86">
        <f t="shared" si="12"/>
        <v>39.939284000000001</v>
      </c>
      <c r="R31" s="51"/>
      <c r="S31" s="51"/>
    </row>
    <row r="32" spans="1:19" ht="13.5" customHeight="1" x14ac:dyDescent="0.2">
      <c r="A32" s="27">
        <f>IF(D32=0,"",1+MAX(A$12:A31))</f>
        <v>17</v>
      </c>
      <c r="B32" s="151"/>
      <c r="C32" s="53" t="s">
        <v>72</v>
      </c>
      <c r="D32" s="28">
        <v>6394.2</v>
      </c>
      <c r="E32" s="28" t="s">
        <v>52</v>
      </c>
      <c r="F32" s="84">
        <v>0.1</v>
      </c>
      <c r="G32" s="85">
        <f t="shared" si="7"/>
        <v>7033.62</v>
      </c>
      <c r="H32" s="85">
        <v>2.1000000000000001E-2</v>
      </c>
      <c r="I32" s="86">
        <v>47.95</v>
      </c>
      <c r="J32" s="85">
        <f t="shared" si="8"/>
        <v>147.70602</v>
      </c>
      <c r="K32" s="86">
        <f t="shared" si="9"/>
        <v>7082.503659</v>
      </c>
      <c r="L32" s="86">
        <v>2.08</v>
      </c>
      <c r="M32" s="86">
        <f t="shared" si="10"/>
        <v>14629.929599999999</v>
      </c>
      <c r="N32" s="86">
        <v>0</v>
      </c>
      <c r="O32" s="86">
        <f t="shared" si="11"/>
        <v>0</v>
      </c>
      <c r="P32" s="86">
        <f t="shared" si="12"/>
        <v>21712.433258999998</v>
      </c>
      <c r="R32" s="51"/>
      <c r="S32" s="51"/>
    </row>
    <row r="33" spans="1:19" ht="13.5" customHeight="1" x14ac:dyDescent="0.2">
      <c r="A33" s="125">
        <f>IF(D33=0,"",1+MAX(A$12:A32))</f>
        <v>18</v>
      </c>
      <c r="B33" s="151"/>
      <c r="C33" s="53" t="s">
        <v>73</v>
      </c>
      <c r="D33" s="28">
        <v>6394.2</v>
      </c>
      <c r="E33" s="28" t="s">
        <v>52</v>
      </c>
      <c r="F33" s="84">
        <v>0.1</v>
      </c>
      <c r="G33" s="85">
        <f t="shared" si="7"/>
        <v>7033.62</v>
      </c>
      <c r="H33" s="85">
        <v>0.02</v>
      </c>
      <c r="I33" s="86">
        <v>47.95</v>
      </c>
      <c r="J33" s="85">
        <f t="shared" si="8"/>
        <v>140.67240000000001</v>
      </c>
      <c r="K33" s="86">
        <f t="shared" si="9"/>
        <v>6745.2415800000008</v>
      </c>
      <c r="L33" s="86">
        <v>0.93</v>
      </c>
      <c r="M33" s="86">
        <f t="shared" si="10"/>
        <v>6541.2665999999999</v>
      </c>
      <c r="N33" s="86">
        <v>0</v>
      </c>
      <c r="O33" s="86">
        <f t="shared" si="11"/>
        <v>0</v>
      </c>
      <c r="P33" s="86">
        <f t="shared" si="12"/>
        <v>13286.508180000001</v>
      </c>
      <c r="R33" s="51"/>
      <c r="S33" s="51"/>
    </row>
    <row r="34" spans="1:19" ht="13.5" customHeight="1" x14ac:dyDescent="0.2">
      <c r="A34" s="125">
        <f>IF(D34=0,"",1+MAX(A$12:A33))</f>
        <v>19</v>
      </c>
      <c r="B34" s="151"/>
      <c r="C34" s="53" t="s">
        <v>74</v>
      </c>
      <c r="D34" s="28">
        <v>6394.2</v>
      </c>
      <c r="E34" s="28" t="s">
        <v>52</v>
      </c>
      <c r="F34" s="84">
        <v>0.1</v>
      </c>
      <c r="G34" s="85">
        <f t="shared" si="7"/>
        <v>7033.62</v>
      </c>
      <c r="H34" s="85">
        <v>2.5999999999999999E-2</v>
      </c>
      <c r="I34" s="86">
        <v>47.95</v>
      </c>
      <c r="J34" s="85">
        <f t="shared" si="8"/>
        <v>182.87411999999998</v>
      </c>
      <c r="K34" s="86">
        <f t="shared" si="9"/>
        <v>8768.8140539999986</v>
      </c>
      <c r="L34" s="86">
        <v>1.38</v>
      </c>
      <c r="M34" s="86">
        <f t="shared" si="10"/>
        <v>9706.3955999999998</v>
      </c>
      <c r="N34" s="86">
        <v>0</v>
      </c>
      <c r="O34" s="86">
        <f t="shared" si="11"/>
        <v>0</v>
      </c>
      <c r="P34" s="86">
        <f t="shared" si="12"/>
        <v>18475.209653999998</v>
      </c>
      <c r="R34" s="51"/>
      <c r="S34" s="51"/>
    </row>
    <row r="35" spans="1:19" ht="13.5" customHeight="1" x14ac:dyDescent="0.2">
      <c r="A35" s="125">
        <f>IF(D35=0,"",1+MAX(A$12:A34))</f>
        <v>20</v>
      </c>
      <c r="B35" s="151"/>
      <c r="C35" s="53" t="s">
        <v>75</v>
      </c>
      <c r="D35" s="28">
        <v>728.84</v>
      </c>
      <c r="E35" s="28" t="s">
        <v>52</v>
      </c>
      <c r="F35" s="84">
        <v>0.1</v>
      </c>
      <c r="G35" s="85">
        <f t="shared" si="7"/>
        <v>801.72400000000005</v>
      </c>
      <c r="H35" s="85">
        <v>2.8000000000000001E-2</v>
      </c>
      <c r="I35" s="86">
        <v>47.95</v>
      </c>
      <c r="J35" s="85">
        <f t="shared" si="8"/>
        <v>22.448272000000003</v>
      </c>
      <c r="K35" s="86">
        <f t="shared" si="9"/>
        <v>1076.3946424000003</v>
      </c>
      <c r="L35" s="86">
        <v>1.97</v>
      </c>
      <c r="M35" s="86">
        <f t="shared" si="10"/>
        <v>1579.3962800000002</v>
      </c>
      <c r="N35" s="86">
        <v>0</v>
      </c>
      <c r="O35" s="86">
        <f t="shared" si="11"/>
        <v>0</v>
      </c>
      <c r="P35" s="86">
        <f t="shared" si="12"/>
        <v>2655.7909224000005</v>
      </c>
      <c r="R35" s="51"/>
      <c r="S35" s="51"/>
    </row>
    <row r="36" spans="1:19" ht="13.5" customHeight="1" x14ac:dyDescent="0.2">
      <c r="A36" s="125">
        <f>IF(D36=0,"",1+MAX(A$12:A35))</f>
        <v>21</v>
      </c>
      <c r="B36" s="151"/>
      <c r="C36" s="53" t="s">
        <v>76</v>
      </c>
      <c r="D36" s="28">
        <v>728.84</v>
      </c>
      <c r="E36" s="28" t="s">
        <v>52</v>
      </c>
      <c r="F36" s="84">
        <v>0.1</v>
      </c>
      <c r="G36" s="85">
        <f t="shared" si="7"/>
        <v>801.72400000000005</v>
      </c>
      <c r="H36" s="85">
        <v>0.16400000000000001</v>
      </c>
      <c r="I36" s="86">
        <v>47.95</v>
      </c>
      <c r="J36" s="85">
        <f t="shared" si="8"/>
        <v>131.48273600000002</v>
      </c>
      <c r="K36" s="86">
        <f t="shared" si="9"/>
        <v>6304.5971912000014</v>
      </c>
      <c r="L36" s="86">
        <v>4.8600000000000003</v>
      </c>
      <c r="M36" s="86">
        <f t="shared" si="10"/>
        <v>3896.3786400000004</v>
      </c>
      <c r="N36" s="86">
        <v>0</v>
      </c>
      <c r="O36" s="86">
        <f t="shared" si="11"/>
        <v>0</v>
      </c>
      <c r="P36" s="86">
        <f t="shared" si="12"/>
        <v>10200.975831200001</v>
      </c>
      <c r="R36" s="51"/>
      <c r="S36" s="51"/>
    </row>
    <row r="37" spans="1:19" ht="13.5" customHeight="1" x14ac:dyDescent="0.2">
      <c r="A37" s="125">
        <f>IF(D37=0,"",1+MAX(A$12:A36))</f>
        <v>22</v>
      </c>
      <c r="B37" s="151"/>
      <c r="C37" s="53" t="s">
        <v>77</v>
      </c>
      <c r="D37" s="28">
        <f>3354.84*0.5/27</f>
        <v>62.126666666666672</v>
      </c>
      <c r="E37" s="28" t="s">
        <v>78</v>
      </c>
      <c r="F37" s="84">
        <v>0.1</v>
      </c>
      <c r="G37" s="85">
        <f t="shared" si="7"/>
        <v>68.339333333333343</v>
      </c>
      <c r="H37" s="85">
        <v>3.85</v>
      </c>
      <c r="I37" s="86">
        <v>47.95</v>
      </c>
      <c r="J37" s="85">
        <f t="shared" si="8"/>
        <v>263.10643333333337</v>
      </c>
      <c r="K37" s="86">
        <f t="shared" si="9"/>
        <v>12615.953478333337</v>
      </c>
      <c r="L37" s="86">
        <v>300</v>
      </c>
      <c r="M37" s="86">
        <f t="shared" si="10"/>
        <v>20501.800000000003</v>
      </c>
      <c r="N37" s="86">
        <v>0</v>
      </c>
      <c r="O37" s="86">
        <f t="shared" si="11"/>
        <v>0</v>
      </c>
      <c r="P37" s="86">
        <f t="shared" si="12"/>
        <v>33117.753478333339</v>
      </c>
      <c r="R37" s="51"/>
      <c r="S37" s="51"/>
    </row>
    <row r="38" spans="1:19" ht="13.5" customHeight="1" x14ac:dyDescent="0.2">
      <c r="A38" s="125"/>
      <c r="B38" s="151"/>
      <c r="C38" s="77" t="s">
        <v>79</v>
      </c>
      <c r="D38" s="28"/>
      <c r="E38" s="28"/>
      <c r="F38" s="84"/>
      <c r="G38" s="85"/>
      <c r="H38" s="85"/>
      <c r="I38" s="86"/>
      <c r="J38" s="85"/>
      <c r="K38" s="86"/>
      <c r="L38" s="86"/>
      <c r="M38" s="86"/>
      <c r="N38" s="86"/>
      <c r="O38" s="86"/>
      <c r="P38" s="86"/>
      <c r="R38" s="51"/>
      <c r="S38" s="51"/>
    </row>
    <row r="39" spans="1:19" ht="13.5" customHeight="1" x14ac:dyDescent="0.2">
      <c r="A39" s="125">
        <f>IF(D39=0,"",1+MAX(A$12:A38))</f>
        <v>23</v>
      </c>
      <c r="B39" s="151"/>
      <c r="C39" s="53" t="s">
        <v>80</v>
      </c>
      <c r="D39" s="28">
        <v>9</v>
      </c>
      <c r="E39" s="28" t="s">
        <v>55</v>
      </c>
      <c r="F39" s="84">
        <v>0</v>
      </c>
      <c r="G39" s="85">
        <f t="shared" ref="G39:G47" si="13">(F39*D39)+D39</f>
        <v>9</v>
      </c>
      <c r="H39" s="85">
        <v>6.5919999999999996</v>
      </c>
      <c r="I39" s="86">
        <v>47.95</v>
      </c>
      <c r="J39" s="85">
        <f t="shared" ref="J39:J47" si="14">H39*G39</f>
        <v>59.327999999999996</v>
      </c>
      <c r="K39" s="86">
        <f t="shared" ref="K39:K47" si="15">I39*J39</f>
        <v>2844.7775999999999</v>
      </c>
      <c r="L39" s="86">
        <v>488.66</v>
      </c>
      <c r="M39" s="86">
        <f t="shared" ref="M39:M47" si="16">L39*G39</f>
        <v>4397.9400000000005</v>
      </c>
      <c r="N39" s="86">
        <v>0</v>
      </c>
      <c r="O39" s="86">
        <f t="shared" ref="O39:O47" si="17">N39*G39</f>
        <v>0</v>
      </c>
      <c r="P39" s="86">
        <f t="shared" ref="P39:P47" si="18">IF(D39="","",(K39+M39+O39))</f>
        <v>7242.7175999999999</v>
      </c>
      <c r="R39" s="51"/>
      <c r="S39" s="51"/>
    </row>
    <row r="40" spans="1:19" ht="13.5" customHeight="1" x14ac:dyDescent="0.2">
      <c r="A40" s="125">
        <f>IF(D40=0,"",1+MAX(A$12:A39))</f>
        <v>24</v>
      </c>
      <c r="B40" s="151"/>
      <c r="C40" s="53" t="s">
        <v>81</v>
      </c>
      <c r="D40" s="28">
        <f>((3.14*1.5*1.5/4)*3*9/(27))</f>
        <v>1.7662499999999999</v>
      </c>
      <c r="E40" s="28" t="s">
        <v>78</v>
      </c>
      <c r="F40" s="84">
        <v>0.1</v>
      </c>
      <c r="G40" s="85">
        <f t="shared" si="13"/>
        <v>1.9428749999999999</v>
      </c>
      <c r="H40" s="85">
        <v>4.59</v>
      </c>
      <c r="I40" s="86">
        <v>47.95</v>
      </c>
      <c r="J40" s="85">
        <f t="shared" si="14"/>
        <v>8.9177962499999985</v>
      </c>
      <c r="K40" s="86">
        <f t="shared" si="15"/>
        <v>427.60833018749997</v>
      </c>
      <c r="L40" s="86">
        <v>550</v>
      </c>
      <c r="M40" s="86">
        <f t="shared" si="16"/>
        <v>1068.58125</v>
      </c>
      <c r="N40" s="86">
        <v>0</v>
      </c>
      <c r="O40" s="86">
        <f t="shared" si="17"/>
        <v>0</v>
      </c>
      <c r="P40" s="86">
        <f t="shared" si="18"/>
        <v>1496.1895801874998</v>
      </c>
      <c r="R40" s="51"/>
      <c r="S40" s="51"/>
    </row>
    <row r="41" spans="1:19" ht="13.5" customHeight="1" x14ac:dyDescent="0.2">
      <c r="A41" s="125">
        <f>IF(D41=0,"",1+MAX(A$12:A40))</f>
        <v>25</v>
      </c>
      <c r="B41" s="151"/>
      <c r="C41" s="53" t="s">
        <v>82</v>
      </c>
      <c r="D41" s="28">
        <v>7</v>
      </c>
      <c r="E41" s="28" t="s">
        <v>55</v>
      </c>
      <c r="F41" s="84">
        <v>0</v>
      </c>
      <c r="G41" s="85">
        <f t="shared" si="13"/>
        <v>7</v>
      </c>
      <c r="H41" s="85">
        <v>4.4710000000000001</v>
      </c>
      <c r="I41" s="86">
        <v>47.95</v>
      </c>
      <c r="J41" s="85">
        <f t="shared" si="14"/>
        <v>31.297000000000001</v>
      </c>
      <c r="K41" s="86">
        <f t="shared" si="15"/>
        <v>1500.6911500000001</v>
      </c>
      <c r="L41" s="86">
        <v>199.14</v>
      </c>
      <c r="M41" s="86">
        <f t="shared" si="16"/>
        <v>1393.98</v>
      </c>
      <c r="N41" s="86">
        <v>0</v>
      </c>
      <c r="O41" s="86">
        <f t="shared" si="17"/>
        <v>0</v>
      </c>
      <c r="P41" s="86">
        <f t="shared" si="18"/>
        <v>2894.6711500000001</v>
      </c>
      <c r="R41" s="51"/>
      <c r="S41" s="51"/>
    </row>
    <row r="42" spans="1:19" ht="13.5" customHeight="1" x14ac:dyDescent="0.2">
      <c r="A42" s="125">
        <f>IF(D42=0,"",1+MAX(A$12:A41))</f>
        <v>26</v>
      </c>
      <c r="B42" s="151"/>
      <c r="C42" s="53" t="s">
        <v>83</v>
      </c>
      <c r="D42" s="28">
        <f>((3.14*1.5*1.5/4)*2.5*7/(27))</f>
        <v>1.1447916666666667</v>
      </c>
      <c r="E42" s="28" t="s">
        <v>78</v>
      </c>
      <c r="F42" s="84">
        <v>0.1</v>
      </c>
      <c r="G42" s="85">
        <f t="shared" si="13"/>
        <v>1.2592708333333333</v>
      </c>
      <c r="H42" s="85">
        <v>4.59</v>
      </c>
      <c r="I42" s="86">
        <v>47.95</v>
      </c>
      <c r="J42" s="85">
        <f t="shared" si="14"/>
        <v>5.7800531250000002</v>
      </c>
      <c r="K42" s="86">
        <f t="shared" si="15"/>
        <v>277.15354734375001</v>
      </c>
      <c r="L42" s="86">
        <v>550</v>
      </c>
      <c r="M42" s="86">
        <f t="shared" si="16"/>
        <v>692.59895833333337</v>
      </c>
      <c r="N42" s="86">
        <v>0</v>
      </c>
      <c r="O42" s="86">
        <f t="shared" si="17"/>
        <v>0</v>
      </c>
      <c r="P42" s="86">
        <f t="shared" si="18"/>
        <v>969.75250567708338</v>
      </c>
      <c r="R42" s="51"/>
      <c r="S42" s="51"/>
    </row>
    <row r="43" spans="1:19" ht="13.5" customHeight="1" x14ac:dyDescent="0.2">
      <c r="A43" s="125">
        <f>IF(D43=0,"",1+MAX(A$12:A42))</f>
        <v>27</v>
      </c>
      <c r="B43" s="151"/>
      <c r="C43" s="53" t="s">
        <v>84</v>
      </c>
      <c r="D43" s="28">
        <v>14.86</v>
      </c>
      <c r="E43" s="28" t="s">
        <v>56</v>
      </c>
      <c r="F43" s="84">
        <v>0.1</v>
      </c>
      <c r="G43" s="85">
        <f t="shared" si="13"/>
        <v>16.346</v>
      </c>
      <c r="H43" s="85">
        <v>9.8000000000000004E-2</v>
      </c>
      <c r="I43" s="86">
        <v>47.95</v>
      </c>
      <c r="J43" s="85">
        <f t="shared" si="14"/>
        <v>1.6019080000000001</v>
      </c>
      <c r="K43" s="86">
        <f t="shared" si="15"/>
        <v>76.811488600000004</v>
      </c>
      <c r="L43" s="86">
        <v>3.95</v>
      </c>
      <c r="M43" s="86">
        <f t="shared" si="16"/>
        <v>64.566699999999997</v>
      </c>
      <c r="N43" s="86">
        <v>0</v>
      </c>
      <c r="O43" s="86">
        <f t="shared" si="17"/>
        <v>0</v>
      </c>
      <c r="P43" s="86">
        <f t="shared" si="18"/>
        <v>141.37818859999999</v>
      </c>
      <c r="R43" s="51"/>
      <c r="S43" s="51"/>
    </row>
    <row r="44" spans="1:19" ht="13.5" customHeight="1" x14ac:dyDescent="0.2">
      <c r="A44" s="125">
        <f>IF(D44=0,"",1+MAX(A$12:A43))</f>
        <v>28</v>
      </c>
      <c r="B44" s="151"/>
      <c r="C44" s="53" t="s">
        <v>85</v>
      </c>
      <c r="D44" s="28">
        <v>24.07</v>
      </c>
      <c r="E44" s="28" t="s">
        <v>56</v>
      </c>
      <c r="F44" s="84">
        <v>0.1</v>
      </c>
      <c r="G44" s="85">
        <f t="shared" si="13"/>
        <v>26.477</v>
      </c>
      <c r="H44" s="85">
        <v>0.128</v>
      </c>
      <c r="I44" s="86">
        <v>47.95</v>
      </c>
      <c r="J44" s="85">
        <f t="shared" si="14"/>
        <v>3.3890560000000001</v>
      </c>
      <c r="K44" s="86">
        <f t="shared" si="15"/>
        <v>162.50523520000002</v>
      </c>
      <c r="L44" s="86">
        <v>5.0199999999999996</v>
      </c>
      <c r="M44" s="86">
        <f t="shared" si="16"/>
        <v>132.91453999999999</v>
      </c>
      <c r="N44" s="86">
        <v>0</v>
      </c>
      <c r="O44" s="86">
        <f t="shared" si="17"/>
        <v>0</v>
      </c>
      <c r="P44" s="86">
        <f t="shared" si="18"/>
        <v>295.4197752</v>
      </c>
      <c r="R44" s="51"/>
      <c r="S44" s="51"/>
    </row>
    <row r="45" spans="1:19" ht="13.5" customHeight="1" x14ac:dyDescent="0.2">
      <c r="A45" s="125">
        <f>IF(D45=0,"",1+MAX(A$12:A44))</f>
        <v>29</v>
      </c>
      <c r="B45" s="151"/>
      <c r="C45" s="53" t="s">
        <v>86</v>
      </c>
      <c r="D45" s="28">
        <v>12.13</v>
      </c>
      <c r="E45" s="28" t="s">
        <v>56</v>
      </c>
      <c r="F45" s="84">
        <v>0.1</v>
      </c>
      <c r="G45" s="85">
        <f t="shared" si="13"/>
        <v>13.343</v>
      </c>
      <c r="H45" s="85">
        <v>9.8000000000000004E-2</v>
      </c>
      <c r="I45" s="86">
        <v>47.95</v>
      </c>
      <c r="J45" s="85">
        <f t="shared" si="14"/>
        <v>1.3076140000000001</v>
      </c>
      <c r="K45" s="86">
        <f t="shared" si="15"/>
        <v>62.700091300000004</v>
      </c>
      <c r="L45" s="86">
        <v>3.95</v>
      </c>
      <c r="M45" s="86">
        <f t="shared" si="16"/>
        <v>52.70485</v>
      </c>
      <c r="N45" s="86">
        <v>0</v>
      </c>
      <c r="O45" s="86">
        <f t="shared" si="17"/>
        <v>0</v>
      </c>
      <c r="P45" s="86">
        <f t="shared" si="18"/>
        <v>115.4049413</v>
      </c>
      <c r="R45" s="51"/>
      <c r="S45" s="51"/>
    </row>
    <row r="46" spans="1:19" ht="13.5" customHeight="1" x14ac:dyDescent="0.2">
      <c r="A46" s="125">
        <f>IF(D46=0,"",1+MAX(A$12:A45))</f>
        <v>30</v>
      </c>
      <c r="B46" s="151"/>
      <c r="C46" s="53" t="s">
        <v>87</v>
      </c>
      <c r="D46" s="28">
        <v>34.07</v>
      </c>
      <c r="E46" s="28" t="s">
        <v>56</v>
      </c>
      <c r="F46" s="84">
        <v>0.1</v>
      </c>
      <c r="G46" s="85">
        <f t="shared" si="13"/>
        <v>37.477000000000004</v>
      </c>
      <c r="H46" s="85">
        <v>3.5999999999999997E-2</v>
      </c>
      <c r="I46" s="86">
        <v>47.95</v>
      </c>
      <c r="J46" s="85">
        <f t="shared" si="14"/>
        <v>1.349172</v>
      </c>
      <c r="K46" s="86">
        <f t="shared" si="15"/>
        <v>64.692797400000003</v>
      </c>
      <c r="L46" s="86">
        <v>1.2572533849129595</v>
      </c>
      <c r="M46" s="86">
        <f t="shared" si="16"/>
        <v>47.118085106382985</v>
      </c>
      <c r="N46" s="86">
        <v>0</v>
      </c>
      <c r="O46" s="86">
        <f t="shared" si="17"/>
        <v>0</v>
      </c>
      <c r="P46" s="86">
        <f t="shared" si="18"/>
        <v>111.810882506383</v>
      </c>
      <c r="R46" s="51"/>
      <c r="S46" s="51"/>
    </row>
    <row r="47" spans="1:19" ht="13.5" customHeight="1" x14ac:dyDescent="0.2">
      <c r="A47" s="125">
        <f>IF(D47=0,"",1+MAX(A$12:A46))</f>
        <v>31</v>
      </c>
      <c r="B47" s="151"/>
      <c r="C47" s="53" t="s">
        <v>88</v>
      </c>
      <c r="D47" s="28">
        <f>121.36*0.5/27</f>
        <v>2.2474074074074073</v>
      </c>
      <c r="E47" s="28" t="s">
        <v>78</v>
      </c>
      <c r="F47" s="84">
        <v>0.1</v>
      </c>
      <c r="G47" s="85">
        <f t="shared" si="13"/>
        <v>2.4721481481481482</v>
      </c>
      <c r="H47" s="85">
        <v>3.85</v>
      </c>
      <c r="I47" s="86">
        <v>47.95</v>
      </c>
      <c r="J47" s="85">
        <f t="shared" si="14"/>
        <v>9.5177703703703713</v>
      </c>
      <c r="K47" s="86">
        <f t="shared" si="15"/>
        <v>456.37708925925932</v>
      </c>
      <c r="L47" s="86">
        <v>300</v>
      </c>
      <c r="M47" s="86">
        <f t="shared" si="16"/>
        <v>741.6444444444445</v>
      </c>
      <c r="N47" s="86">
        <v>0</v>
      </c>
      <c r="O47" s="86">
        <f t="shared" si="17"/>
        <v>0</v>
      </c>
      <c r="P47" s="86">
        <f t="shared" si="18"/>
        <v>1198.0215337037039</v>
      </c>
      <c r="R47" s="51"/>
      <c r="S47" s="51"/>
    </row>
    <row r="48" spans="1:19" ht="13.5" customHeight="1" x14ac:dyDescent="0.2">
      <c r="A48" s="125"/>
      <c r="B48" s="151"/>
      <c r="C48" s="77" t="s">
        <v>89</v>
      </c>
      <c r="D48" s="28"/>
      <c r="E48" s="28"/>
      <c r="F48" s="84"/>
      <c r="G48" s="85"/>
      <c r="H48" s="85"/>
      <c r="I48" s="86"/>
      <c r="J48" s="85"/>
      <c r="K48" s="86"/>
      <c r="L48" s="86"/>
      <c r="M48" s="86"/>
      <c r="N48" s="86"/>
      <c r="O48" s="86"/>
      <c r="P48" s="86"/>
      <c r="R48" s="51"/>
      <c r="S48" s="51"/>
    </row>
    <row r="49" spans="1:19" ht="13.5" customHeight="1" x14ac:dyDescent="0.2">
      <c r="A49" s="125">
        <f>IF(D49=0,"",1+MAX(A$12:A48))</f>
        <v>32</v>
      </c>
      <c r="B49" s="151"/>
      <c r="C49" s="53" t="s">
        <v>90</v>
      </c>
      <c r="D49" s="28">
        <v>6</v>
      </c>
      <c r="E49" s="28" t="s">
        <v>55</v>
      </c>
      <c r="F49" s="84">
        <v>0</v>
      </c>
      <c r="G49" s="85">
        <f t="shared" ref="G49:G68" si="19">(F49*D49)+D49</f>
        <v>6</v>
      </c>
      <c r="H49" s="85">
        <v>6.3170000000000002</v>
      </c>
      <c r="I49" s="86">
        <v>47.95</v>
      </c>
      <c r="J49" s="85">
        <f t="shared" ref="J49:J68" si="20">H49*G49</f>
        <v>37.902000000000001</v>
      </c>
      <c r="K49" s="86">
        <f t="shared" ref="K49:K68" si="21">I49*J49</f>
        <v>1817.4009000000001</v>
      </c>
      <c r="L49" s="86">
        <v>443.39</v>
      </c>
      <c r="M49" s="86">
        <f t="shared" ref="M49:M68" si="22">L49*G49</f>
        <v>2660.34</v>
      </c>
      <c r="N49" s="86">
        <v>0</v>
      </c>
      <c r="O49" s="86">
        <f t="shared" ref="O49:O68" si="23">N49*G49</f>
        <v>0</v>
      </c>
      <c r="P49" s="86">
        <f t="shared" ref="P49:P68" si="24">IF(D49="","",(K49+M49+O49))</f>
        <v>4477.7409000000007</v>
      </c>
      <c r="R49" s="51"/>
      <c r="S49" s="51"/>
    </row>
    <row r="50" spans="1:19" ht="13.5" customHeight="1" x14ac:dyDescent="0.2">
      <c r="A50" s="125">
        <f>IF(D50=0,"",1+MAX(A$12:A49))</f>
        <v>33</v>
      </c>
      <c r="B50" s="151"/>
      <c r="C50" s="53" t="s">
        <v>91</v>
      </c>
      <c r="D50" s="28">
        <f>((3.14*2.586)/27)</f>
        <v>0.30074222222222219</v>
      </c>
      <c r="E50" s="28" t="s">
        <v>78</v>
      </c>
      <c r="F50" s="84">
        <v>0.1</v>
      </c>
      <c r="G50" s="85">
        <f t="shared" si="19"/>
        <v>0.33081644444444441</v>
      </c>
      <c r="H50" s="85">
        <v>4.59</v>
      </c>
      <c r="I50" s="86">
        <v>47.95</v>
      </c>
      <c r="J50" s="85">
        <f t="shared" si="20"/>
        <v>1.5184474799999998</v>
      </c>
      <c r="K50" s="86">
        <f t="shared" si="21"/>
        <v>72.809556665999992</v>
      </c>
      <c r="L50" s="86">
        <v>550</v>
      </c>
      <c r="M50" s="86">
        <f t="shared" si="22"/>
        <v>181.94904444444444</v>
      </c>
      <c r="N50" s="86">
        <v>0</v>
      </c>
      <c r="O50" s="86">
        <f t="shared" si="23"/>
        <v>0</v>
      </c>
      <c r="P50" s="86">
        <f t="shared" si="24"/>
        <v>254.75860111044443</v>
      </c>
      <c r="R50" s="51"/>
      <c r="S50" s="51"/>
    </row>
    <row r="51" spans="1:19" ht="13.5" customHeight="1" x14ac:dyDescent="0.2">
      <c r="A51" s="125">
        <f>IF(D51=0,"",1+MAX(A$12:A50))</f>
        <v>34</v>
      </c>
      <c r="B51" s="151"/>
      <c r="C51" s="53" t="s">
        <v>92</v>
      </c>
      <c r="D51" s="28">
        <v>1</v>
      </c>
      <c r="E51" s="28" t="s">
        <v>55</v>
      </c>
      <c r="F51" s="84">
        <v>0</v>
      </c>
      <c r="G51" s="85">
        <f t="shared" si="19"/>
        <v>1</v>
      </c>
      <c r="H51" s="85">
        <v>1.296</v>
      </c>
      <c r="I51" s="86">
        <v>47.95</v>
      </c>
      <c r="J51" s="85">
        <f t="shared" si="20"/>
        <v>1.296</v>
      </c>
      <c r="K51" s="86">
        <f t="shared" si="21"/>
        <v>62.143200000000007</v>
      </c>
      <c r="L51" s="86">
        <v>48.72</v>
      </c>
      <c r="M51" s="86">
        <f t="shared" si="22"/>
        <v>48.72</v>
      </c>
      <c r="N51" s="86">
        <v>0</v>
      </c>
      <c r="O51" s="86">
        <f t="shared" si="23"/>
        <v>0</v>
      </c>
      <c r="P51" s="86">
        <f t="shared" si="24"/>
        <v>110.86320000000001</v>
      </c>
      <c r="R51" s="51"/>
      <c r="S51" s="51"/>
    </row>
    <row r="52" spans="1:19" ht="13.5" customHeight="1" x14ac:dyDescent="0.2">
      <c r="A52" s="125">
        <f>IF(D52=0,"",1+MAX(A$12:A51))</f>
        <v>35</v>
      </c>
      <c r="B52" s="151"/>
      <c r="C52" s="53" t="s">
        <v>93</v>
      </c>
      <c r="D52" s="28">
        <v>1</v>
      </c>
      <c r="E52" s="28" t="s">
        <v>55</v>
      </c>
      <c r="F52" s="84">
        <v>0</v>
      </c>
      <c r="G52" s="85">
        <f t="shared" si="19"/>
        <v>1</v>
      </c>
      <c r="H52" s="85">
        <v>1.274</v>
      </c>
      <c r="I52" s="86">
        <v>47.95</v>
      </c>
      <c r="J52" s="85">
        <f t="shared" si="20"/>
        <v>1.274</v>
      </c>
      <c r="K52" s="86">
        <f t="shared" si="21"/>
        <v>61.088300000000004</v>
      </c>
      <c r="L52" s="86">
        <v>48.15</v>
      </c>
      <c r="M52" s="86">
        <f t="shared" si="22"/>
        <v>48.15</v>
      </c>
      <c r="N52" s="86">
        <v>0</v>
      </c>
      <c r="O52" s="86">
        <f t="shared" si="23"/>
        <v>0</v>
      </c>
      <c r="P52" s="86">
        <f t="shared" si="24"/>
        <v>109.23830000000001</v>
      </c>
      <c r="R52" s="51"/>
      <c r="S52" s="51"/>
    </row>
    <row r="53" spans="1:19" ht="13.5" customHeight="1" x14ac:dyDescent="0.2">
      <c r="A53" s="125">
        <f>IF(D53=0,"",1+MAX(A$12:A52))</f>
        <v>36</v>
      </c>
      <c r="B53" s="151"/>
      <c r="C53" s="53" t="s">
        <v>94</v>
      </c>
      <c r="D53" s="28">
        <v>1</v>
      </c>
      <c r="E53" s="28" t="s">
        <v>55</v>
      </c>
      <c r="F53" s="84">
        <v>0</v>
      </c>
      <c r="G53" s="85">
        <f t="shared" si="19"/>
        <v>1</v>
      </c>
      <c r="H53" s="85">
        <v>1.516</v>
      </c>
      <c r="I53" s="86">
        <v>47.95</v>
      </c>
      <c r="J53" s="85">
        <f t="shared" si="20"/>
        <v>1.516</v>
      </c>
      <c r="K53" s="86">
        <f t="shared" si="21"/>
        <v>72.6922</v>
      </c>
      <c r="L53" s="86">
        <v>54.94</v>
      </c>
      <c r="M53" s="86">
        <f t="shared" si="22"/>
        <v>54.94</v>
      </c>
      <c r="N53" s="86">
        <v>0</v>
      </c>
      <c r="O53" s="86">
        <f t="shared" si="23"/>
        <v>0</v>
      </c>
      <c r="P53" s="86">
        <f t="shared" si="24"/>
        <v>127.6322</v>
      </c>
      <c r="R53" s="51"/>
      <c r="S53" s="51"/>
    </row>
    <row r="54" spans="1:19" ht="13.5" customHeight="1" x14ac:dyDescent="0.2">
      <c r="A54" s="125">
        <f>IF(D54=0,"",1+MAX(A$12:A53))</f>
        <v>37</v>
      </c>
      <c r="B54" s="151"/>
      <c r="C54" s="53" t="s">
        <v>95</v>
      </c>
      <c r="D54" s="28">
        <f>((3.14*1.5*1.5/4)*2*3/(27))</f>
        <v>0.39250000000000002</v>
      </c>
      <c r="E54" s="28" t="s">
        <v>78</v>
      </c>
      <c r="F54" s="84">
        <v>0.1</v>
      </c>
      <c r="G54" s="85">
        <f t="shared" si="19"/>
        <v>0.43175000000000002</v>
      </c>
      <c r="H54" s="85">
        <v>4.59</v>
      </c>
      <c r="I54" s="86">
        <v>47.95</v>
      </c>
      <c r="J54" s="85">
        <f t="shared" si="20"/>
        <v>1.9817325000000001</v>
      </c>
      <c r="K54" s="86">
        <f t="shared" si="21"/>
        <v>95.024073375000015</v>
      </c>
      <c r="L54" s="86">
        <v>550</v>
      </c>
      <c r="M54" s="86">
        <f t="shared" si="22"/>
        <v>237.46250000000001</v>
      </c>
      <c r="N54" s="86">
        <v>0</v>
      </c>
      <c r="O54" s="86">
        <f t="shared" si="23"/>
        <v>0</v>
      </c>
      <c r="P54" s="86">
        <f t="shared" si="24"/>
        <v>332.48657337500003</v>
      </c>
      <c r="R54" s="51"/>
      <c r="S54" s="51"/>
    </row>
    <row r="55" spans="1:19" ht="13.5" customHeight="1" x14ac:dyDescent="0.2">
      <c r="A55" s="125">
        <f>IF(D55=0,"",1+MAX(A$12:A54))</f>
        <v>38</v>
      </c>
      <c r="B55" s="151"/>
      <c r="C55" s="53" t="s">
        <v>80</v>
      </c>
      <c r="D55" s="28">
        <v>6</v>
      </c>
      <c r="E55" s="28" t="s">
        <v>55</v>
      </c>
      <c r="F55" s="84">
        <v>0</v>
      </c>
      <c r="G55" s="85">
        <f t="shared" si="19"/>
        <v>6</v>
      </c>
      <c r="H55" s="85">
        <v>7.9820000000000002</v>
      </c>
      <c r="I55" s="86">
        <v>47.95</v>
      </c>
      <c r="J55" s="85">
        <f t="shared" si="20"/>
        <v>47.892000000000003</v>
      </c>
      <c r="K55" s="86">
        <f t="shared" si="21"/>
        <v>2296.4214000000002</v>
      </c>
      <c r="L55" s="86">
        <v>569.20000000000005</v>
      </c>
      <c r="M55" s="86">
        <f t="shared" si="22"/>
        <v>3415.2000000000003</v>
      </c>
      <c r="N55" s="86">
        <v>0</v>
      </c>
      <c r="O55" s="86">
        <f t="shared" si="23"/>
        <v>0</v>
      </c>
      <c r="P55" s="86">
        <f t="shared" si="24"/>
        <v>5711.6214</v>
      </c>
      <c r="R55" s="51"/>
      <c r="S55" s="51"/>
    </row>
    <row r="56" spans="1:19" ht="13.5" customHeight="1" x14ac:dyDescent="0.2">
      <c r="A56" s="125">
        <f>IF(D56=0,"",1+MAX(A$12:A55))</f>
        <v>39</v>
      </c>
      <c r="B56" s="151"/>
      <c r="C56" s="53" t="s">
        <v>96</v>
      </c>
      <c r="D56" s="28">
        <f>((3.14*1.5*1.5/4)*3*6/(27))</f>
        <v>1.1775</v>
      </c>
      <c r="E56" s="28" t="s">
        <v>78</v>
      </c>
      <c r="F56" s="84">
        <v>0.1</v>
      </c>
      <c r="G56" s="85">
        <f t="shared" si="19"/>
        <v>1.29525</v>
      </c>
      <c r="H56" s="85">
        <v>4.59</v>
      </c>
      <c r="I56" s="86">
        <v>47.95</v>
      </c>
      <c r="J56" s="85">
        <f t="shared" si="20"/>
        <v>5.9451974999999999</v>
      </c>
      <c r="K56" s="86">
        <f t="shared" si="21"/>
        <v>285.072220125</v>
      </c>
      <c r="L56" s="86">
        <v>550</v>
      </c>
      <c r="M56" s="86">
        <f t="shared" si="22"/>
        <v>712.38750000000005</v>
      </c>
      <c r="N56" s="86">
        <v>0</v>
      </c>
      <c r="O56" s="86">
        <f t="shared" si="23"/>
        <v>0</v>
      </c>
      <c r="P56" s="86">
        <f t="shared" si="24"/>
        <v>997.4597201250001</v>
      </c>
      <c r="R56" s="51"/>
      <c r="S56" s="51"/>
    </row>
    <row r="57" spans="1:19" ht="13.5" customHeight="1" x14ac:dyDescent="0.2">
      <c r="A57" s="125">
        <f>IF(D57=0,"",1+MAX(A$12:A56))</f>
        <v>40</v>
      </c>
      <c r="B57" s="151"/>
      <c r="C57" s="53" t="s">
        <v>97</v>
      </c>
      <c r="D57" s="28">
        <v>9</v>
      </c>
      <c r="E57" s="28" t="s">
        <v>55</v>
      </c>
      <c r="F57" s="84">
        <v>0</v>
      </c>
      <c r="G57" s="85">
        <f t="shared" si="19"/>
        <v>9</v>
      </c>
      <c r="H57" s="85">
        <v>1.6890000000000001</v>
      </c>
      <c r="I57" s="86">
        <v>47.95</v>
      </c>
      <c r="J57" s="85">
        <f t="shared" si="20"/>
        <v>15.201000000000001</v>
      </c>
      <c r="K57" s="86">
        <f t="shared" si="21"/>
        <v>728.88795000000005</v>
      </c>
      <c r="L57" s="86">
        <v>72.290000000000006</v>
      </c>
      <c r="M57" s="86">
        <f t="shared" si="22"/>
        <v>650.61</v>
      </c>
      <c r="N57" s="86">
        <v>0</v>
      </c>
      <c r="O57" s="86">
        <f t="shared" si="23"/>
        <v>0</v>
      </c>
      <c r="P57" s="86">
        <f t="shared" si="24"/>
        <v>1379.4979499999999</v>
      </c>
      <c r="R57" s="51"/>
      <c r="S57" s="51"/>
    </row>
    <row r="58" spans="1:19" ht="13.5" customHeight="1" x14ac:dyDescent="0.2">
      <c r="A58" s="125">
        <f>IF(D58=0,"",1+MAX(A$12:A57))</f>
        <v>41</v>
      </c>
      <c r="B58" s="151"/>
      <c r="C58" s="53" t="s">
        <v>98</v>
      </c>
      <c r="D58" s="28">
        <v>1</v>
      </c>
      <c r="E58" s="28" t="s">
        <v>55</v>
      </c>
      <c r="F58" s="84">
        <v>0</v>
      </c>
      <c r="G58" s="85">
        <f t="shared" si="19"/>
        <v>1</v>
      </c>
      <c r="H58" s="85">
        <v>3.2589999999999999</v>
      </c>
      <c r="I58" s="86">
        <v>47.95</v>
      </c>
      <c r="J58" s="85">
        <f t="shared" si="20"/>
        <v>3.2589999999999999</v>
      </c>
      <c r="K58" s="86">
        <f t="shared" si="21"/>
        <v>156.26904999999999</v>
      </c>
      <c r="L58" s="86">
        <v>114.78</v>
      </c>
      <c r="M58" s="86">
        <f t="shared" si="22"/>
        <v>114.78</v>
      </c>
      <c r="N58" s="86">
        <v>0</v>
      </c>
      <c r="O58" s="86">
        <f t="shared" si="23"/>
        <v>0</v>
      </c>
      <c r="P58" s="86">
        <f t="shared" si="24"/>
        <v>271.04904999999997</v>
      </c>
      <c r="R58" s="51"/>
      <c r="S58" s="51"/>
    </row>
    <row r="59" spans="1:19" ht="13.5" customHeight="1" x14ac:dyDescent="0.2">
      <c r="A59" s="125">
        <f>IF(D59=0,"",1+MAX(A$12:A58))</f>
        <v>42</v>
      </c>
      <c r="B59" s="151"/>
      <c r="C59" s="53" t="s">
        <v>99</v>
      </c>
      <c r="D59" s="28">
        <v>217.63</v>
      </c>
      <c r="E59" s="28" t="s">
        <v>56</v>
      </c>
      <c r="F59" s="84">
        <v>0.1</v>
      </c>
      <c r="G59" s="85">
        <f t="shared" si="19"/>
        <v>239.393</v>
      </c>
      <c r="H59" s="85">
        <v>2.5000000000000001E-2</v>
      </c>
      <c r="I59" s="86">
        <v>47.95</v>
      </c>
      <c r="J59" s="85">
        <f t="shared" si="20"/>
        <v>5.9848250000000007</v>
      </c>
      <c r="K59" s="86">
        <f t="shared" si="21"/>
        <v>286.97235875000007</v>
      </c>
      <c r="L59" s="86">
        <v>1.4</v>
      </c>
      <c r="M59" s="86">
        <f t="shared" si="22"/>
        <v>335.15019999999998</v>
      </c>
      <c r="N59" s="86">
        <v>0</v>
      </c>
      <c r="O59" s="86">
        <f t="shared" si="23"/>
        <v>0</v>
      </c>
      <c r="P59" s="86">
        <f t="shared" si="24"/>
        <v>622.12255875000005</v>
      </c>
      <c r="R59" s="51"/>
      <c r="S59" s="51"/>
    </row>
    <row r="60" spans="1:19" ht="13.5" customHeight="1" x14ac:dyDescent="0.2">
      <c r="A60" s="125">
        <f>IF(D60=0,"",1+MAX(A$12:A59))</f>
        <v>43</v>
      </c>
      <c r="B60" s="151"/>
      <c r="C60" s="53" t="s">
        <v>100</v>
      </c>
      <c r="D60" s="28">
        <v>72.69</v>
      </c>
      <c r="E60" s="28" t="s">
        <v>56</v>
      </c>
      <c r="F60" s="84">
        <v>0.1</v>
      </c>
      <c r="G60" s="85">
        <f t="shared" si="19"/>
        <v>79.959000000000003</v>
      </c>
      <c r="H60" s="85">
        <v>8.7999999999999995E-2</v>
      </c>
      <c r="I60" s="86">
        <v>47.95</v>
      </c>
      <c r="J60" s="85">
        <f t="shared" si="20"/>
        <v>7.0363920000000002</v>
      </c>
      <c r="K60" s="86">
        <f t="shared" si="21"/>
        <v>337.39499640000003</v>
      </c>
      <c r="L60" s="86">
        <v>4.28</v>
      </c>
      <c r="M60" s="86">
        <f t="shared" si="22"/>
        <v>342.22452000000004</v>
      </c>
      <c r="N60" s="86">
        <v>0</v>
      </c>
      <c r="O60" s="86">
        <f t="shared" si="23"/>
        <v>0</v>
      </c>
      <c r="P60" s="86">
        <f t="shared" si="24"/>
        <v>679.61951640000007</v>
      </c>
      <c r="R60" s="51"/>
      <c r="S60" s="51"/>
    </row>
    <row r="61" spans="1:19" ht="13.5" customHeight="1" x14ac:dyDescent="0.2">
      <c r="A61" s="125">
        <f>IF(D61=0,"",1+MAX(A$12:A60))</f>
        <v>44</v>
      </c>
      <c r="B61" s="151"/>
      <c r="C61" s="53" t="s">
        <v>101</v>
      </c>
      <c r="D61" s="28">
        <v>11.67</v>
      </c>
      <c r="E61" s="28" t="s">
        <v>56</v>
      </c>
      <c r="F61" s="84">
        <v>0.1</v>
      </c>
      <c r="G61" s="85">
        <f t="shared" si="19"/>
        <v>12.837</v>
      </c>
      <c r="H61" s="85">
        <v>0.158</v>
      </c>
      <c r="I61" s="86">
        <v>47.95</v>
      </c>
      <c r="J61" s="85">
        <f t="shared" si="20"/>
        <v>2.0282459999999998</v>
      </c>
      <c r="K61" s="86">
        <f t="shared" si="21"/>
        <v>97.254395699999989</v>
      </c>
      <c r="L61" s="86">
        <v>8.59</v>
      </c>
      <c r="M61" s="86">
        <f t="shared" si="22"/>
        <v>110.26983</v>
      </c>
      <c r="N61" s="86">
        <v>0</v>
      </c>
      <c r="O61" s="86">
        <f t="shared" si="23"/>
        <v>0</v>
      </c>
      <c r="P61" s="86">
        <f t="shared" si="24"/>
        <v>207.52422569999999</v>
      </c>
      <c r="R61" s="51"/>
      <c r="S61" s="51"/>
    </row>
    <row r="62" spans="1:19" ht="13.5" customHeight="1" x14ac:dyDescent="0.2">
      <c r="A62" s="125">
        <f>IF(D62=0,"",1+MAX(A$12:A61))</f>
        <v>45</v>
      </c>
      <c r="B62" s="151"/>
      <c r="C62" s="53" t="s">
        <v>102</v>
      </c>
      <c r="D62" s="28">
        <v>49.99</v>
      </c>
      <c r="E62" s="28" t="s">
        <v>56</v>
      </c>
      <c r="F62" s="84">
        <v>0.1</v>
      </c>
      <c r="G62" s="85">
        <f t="shared" si="19"/>
        <v>54.989000000000004</v>
      </c>
      <c r="H62" s="85">
        <v>2.5000000000000001E-2</v>
      </c>
      <c r="I62" s="86">
        <v>47.95</v>
      </c>
      <c r="J62" s="85">
        <f t="shared" si="20"/>
        <v>1.3747250000000002</v>
      </c>
      <c r="K62" s="86">
        <f t="shared" si="21"/>
        <v>65.918063750000016</v>
      </c>
      <c r="L62" s="86">
        <v>1.4</v>
      </c>
      <c r="M62" s="86">
        <f t="shared" si="22"/>
        <v>76.9846</v>
      </c>
      <c r="N62" s="86">
        <v>0</v>
      </c>
      <c r="O62" s="86">
        <f t="shared" si="23"/>
        <v>0</v>
      </c>
      <c r="P62" s="86">
        <f t="shared" si="24"/>
        <v>142.90266375000002</v>
      </c>
      <c r="R62" s="51"/>
      <c r="S62" s="51"/>
    </row>
    <row r="63" spans="1:19" ht="13.5" customHeight="1" x14ac:dyDescent="0.2">
      <c r="A63" s="125">
        <f>IF(D63=0,"",1+MAX(A$12:A62))</f>
        <v>46</v>
      </c>
      <c r="B63" s="151"/>
      <c r="C63" s="53" t="s">
        <v>103</v>
      </c>
      <c r="D63" s="28">
        <v>110.26</v>
      </c>
      <c r="E63" s="28" t="s">
        <v>56</v>
      </c>
      <c r="F63" s="84">
        <v>0.1</v>
      </c>
      <c r="G63" s="85">
        <f t="shared" si="19"/>
        <v>121.286</v>
      </c>
      <c r="H63" s="85">
        <v>4.4999999999999998E-2</v>
      </c>
      <c r="I63" s="86">
        <v>47.95</v>
      </c>
      <c r="J63" s="85">
        <f t="shared" si="20"/>
        <v>5.4578699999999998</v>
      </c>
      <c r="K63" s="86">
        <f t="shared" si="21"/>
        <v>261.70486649999998</v>
      </c>
      <c r="L63" s="86">
        <v>2.06</v>
      </c>
      <c r="M63" s="86">
        <f t="shared" si="22"/>
        <v>249.84916000000001</v>
      </c>
      <c r="N63" s="86">
        <v>0</v>
      </c>
      <c r="O63" s="86">
        <f t="shared" si="23"/>
        <v>0</v>
      </c>
      <c r="P63" s="86">
        <f t="shared" si="24"/>
        <v>511.55402649999996</v>
      </c>
      <c r="R63" s="51"/>
      <c r="S63" s="51"/>
    </row>
    <row r="64" spans="1:19" ht="13.5" customHeight="1" x14ac:dyDescent="0.2">
      <c r="A64" s="125">
        <f>IF(D64=0,"",1+MAX(A$12:A63))</f>
        <v>47</v>
      </c>
      <c r="B64" s="151"/>
      <c r="C64" s="53" t="s">
        <v>104</v>
      </c>
      <c r="D64" s="28">
        <v>14.24</v>
      </c>
      <c r="E64" s="28" t="s">
        <v>56</v>
      </c>
      <c r="F64" s="84">
        <v>0.1</v>
      </c>
      <c r="G64" s="85">
        <f t="shared" si="19"/>
        <v>15.664</v>
      </c>
      <c r="H64" s="85">
        <v>8.7999999999999995E-2</v>
      </c>
      <c r="I64" s="86">
        <v>47.95</v>
      </c>
      <c r="J64" s="85">
        <f t="shared" si="20"/>
        <v>1.3784319999999999</v>
      </c>
      <c r="K64" s="86">
        <f t="shared" si="21"/>
        <v>66.095814399999995</v>
      </c>
      <c r="L64" s="86">
        <v>4.28</v>
      </c>
      <c r="M64" s="86">
        <f t="shared" si="22"/>
        <v>67.041920000000005</v>
      </c>
      <c r="N64" s="86">
        <v>0</v>
      </c>
      <c r="O64" s="86">
        <f t="shared" si="23"/>
        <v>0</v>
      </c>
      <c r="P64" s="86">
        <f t="shared" si="24"/>
        <v>133.1377344</v>
      </c>
      <c r="R64" s="51"/>
      <c r="S64" s="51"/>
    </row>
    <row r="65" spans="1:19" ht="13.5" customHeight="1" x14ac:dyDescent="0.2">
      <c r="A65" s="125">
        <f>IF(D65=0,"",1+MAX(A$12:A64))</f>
        <v>48</v>
      </c>
      <c r="B65" s="151"/>
      <c r="C65" s="53" t="s">
        <v>105</v>
      </c>
      <c r="D65" s="28">
        <v>37.04</v>
      </c>
      <c r="E65" s="28" t="s">
        <v>56</v>
      </c>
      <c r="F65" s="84">
        <v>0.1</v>
      </c>
      <c r="G65" s="85">
        <f t="shared" si="19"/>
        <v>40.744</v>
      </c>
      <c r="H65" s="85">
        <v>2.5000000000000001E-2</v>
      </c>
      <c r="I65" s="86">
        <v>47.95</v>
      </c>
      <c r="J65" s="85">
        <f t="shared" si="20"/>
        <v>1.0185999999999999</v>
      </c>
      <c r="K65" s="86">
        <f t="shared" si="21"/>
        <v>48.84187</v>
      </c>
      <c r="L65" s="86">
        <v>1.4</v>
      </c>
      <c r="M65" s="86">
        <f t="shared" si="22"/>
        <v>57.041599999999995</v>
      </c>
      <c r="N65" s="86">
        <v>0</v>
      </c>
      <c r="O65" s="86">
        <f t="shared" si="23"/>
        <v>0</v>
      </c>
      <c r="P65" s="86">
        <f t="shared" si="24"/>
        <v>105.88346999999999</v>
      </c>
      <c r="R65" s="51"/>
      <c r="S65" s="51"/>
    </row>
    <row r="66" spans="1:19" ht="13.5" customHeight="1" x14ac:dyDescent="0.2">
      <c r="A66" s="125">
        <f>IF(D66=0,"",1+MAX(A$12:A65))</f>
        <v>49</v>
      </c>
      <c r="B66" s="151"/>
      <c r="C66" s="53" t="s">
        <v>106</v>
      </c>
      <c r="D66" s="28">
        <v>43.43</v>
      </c>
      <c r="E66" s="28" t="s">
        <v>56</v>
      </c>
      <c r="F66" s="84">
        <v>0.1</v>
      </c>
      <c r="G66" s="85">
        <f t="shared" si="19"/>
        <v>47.772999999999996</v>
      </c>
      <c r="H66" s="85">
        <v>0.35</v>
      </c>
      <c r="I66" s="86">
        <v>47.95</v>
      </c>
      <c r="J66" s="85">
        <f t="shared" si="20"/>
        <v>16.720549999999999</v>
      </c>
      <c r="K66" s="86">
        <f t="shared" si="21"/>
        <v>801.75037250000003</v>
      </c>
      <c r="L66" s="86">
        <v>35</v>
      </c>
      <c r="M66" s="86">
        <f t="shared" si="22"/>
        <v>1672.0549999999998</v>
      </c>
      <c r="N66" s="86">
        <v>0</v>
      </c>
      <c r="O66" s="86">
        <f t="shared" si="23"/>
        <v>0</v>
      </c>
      <c r="P66" s="86">
        <f t="shared" si="24"/>
        <v>2473.8053725</v>
      </c>
      <c r="R66" s="51"/>
      <c r="S66" s="51"/>
    </row>
    <row r="67" spans="1:19" ht="13.5" customHeight="1" x14ac:dyDescent="0.2">
      <c r="A67" s="125">
        <f>IF(D67=0,"",1+MAX(A$12:A66))</f>
        <v>50</v>
      </c>
      <c r="B67" s="151"/>
      <c r="C67" s="53" t="s">
        <v>107</v>
      </c>
      <c r="D67" s="28">
        <v>4.04</v>
      </c>
      <c r="E67" s="28" t="s">
        <v>56</v>
      </c>
      <c r="F67" s="84">
        <v>0.1</v>
      </c>
      <c r="G67" s="85">
        <f t="shared" si="19"/>
        <v>4.444</v>
      </c>
      <c r="H67" s="85">
        <v>2.6739999999999999</v>
      </c>
      <c r="I67" s="86">
        <v>47.95</v>
      </c>
      <c r="J67" s="85">
        <f t="shared" si="20"/>
        <v>11.883255999999999</v>
      </c>
      <c r="K67" s="86">
        <f t="shared" si="21"/>
        <v>569.80212519999998</v>
      </c>
      <c r="L67" s="86">
        <v>96.333333333333329</v>
      </c>
      <c r="M67" s="86">
        <f t="shared" si="22"/>
        <v>428.10533333333331</v>
      </c>
      <c r="N67" s="86">
        <v>0</v>
      </c>
      <c r="O67" s="86">
        <f t="shared" si="23"/>
        <v>0</v>
      </c>
      <c r="P67" s="86">
        <f t="shared" si="24"/>
        <v>997.90745853333328</v>
      </c>
      <c r="R67" s="51"/>
      <c r="S67" s="51"/>
    </row>
    <row r="68" spans="1:19" ht="13.5" customHeight="1" x14ac:dyDescent="0.2">
      <c r="A68" s="125">
        <f>IF(D68=0,"",1+MAX(A$12:A67))</f>
        <v>51</v>
      </c>
      <c r="B68" s="151"/>
      <c r="C68" s="53" t="s">
        <v>108</v>
      </c>
      <c r="D68" s="28">
        <v>5</v>
      </c>
      <c r="E68" s="28" t="s">
        <v>55</v>
      </c>
      <c r="F68" s="84">
        <v>0</v>
      </c>
      <c r="G68" s="85">
        <f t="shared" si="19"/>
        <v>5</v>
      </c>
      <c r="H68" s="85">
        <v>9.7620000000000005</v>
      </c>
      <c r="I68" s="86">
        <v>47.95</v>
      </c>
      <c r="J68" s="85">
        <f t="shared" si="20"/>
        <v>48.81</v>
      </c>
      <c r="K68" s="86">
        <f t="shared" si="21"/>
        <v>2340.4395000000004</v>
      </c>
      <c r="L68" s="86">
        <v>385</v>
      </c>
      <c r="M68" s="86">
        <f t="shared" si="22"/>
        <v>1925</v>
      </c>
      <c r="N68" s="86">
        <v>0</v>
      </c>
      <c r="O68" s="86">
        <f t="shared" si="23"/>
        <v>0</v>
      </c>
      <c r="P68" s="86">
        <f t="shared" si="24"/>
        <v>4265.4395000000004</v>
      </c>
      <c r="R68" s="51"/>
      <c r="S68" s="51"/>
    </row>
    <row r="69" spans="1:19" ht="13.5" customHeight="1" x14ac:dyDescent="0.2">
      <c r="A69" s="125"/>
      <c r="B69" s="151"/>
      <c r="C69" s="77" t="s">
        <v>109</v>
      </c>
      <c r="D69" s="28"/>
      <c r="E69" s="28"/>
      <c r="F69" s="84"/>
      <c r="G69" s="85"/>
      <c r="H69" s="85"/>
      <c r="I69" s="86"/>
      <c r="J69" s="85"/>
      <c r="K69" s="86"/>
      <c r="L69" s="86"/>
      <c r="M69" s="86"/>
      <c r="N69" s="86"/>
      <c r="O69" s="86"/>
      <c r="P69" s="86"/>
      <c r="R69" s="51"/>
      <c r="S69" s="51"/>
    </row>
    <row r="70" spans="1:19" ht="13.5" customHeight="1" x14ac:dyDescent="0.2">
      <c r="A70" s="125">
        <f>IF(D70=0,"",1+MAX(A$12:A69))</f>
        <v>52</v>
      </c>
      <c r="B70" s="151"/>
      <c r="C70" s="53" t="s">
        <v>110</v>
      </c>
      <c r="D70" s="28">
        <v>1</v>
      </c>
      <c r="E70" s="28" t="s">
        <v>55</v>
      </c>
      <c r="F70" s="84">
        <v>0</v>
      </c>
      <c r="G70" s="85">
        <f t="shared" ref="G70:G74" si="25">(F70*D70)+D70</f>
        <v>1</v>
      </c>
      <c r="H70" s="85">
        <v>19.872</v>
      </c>
      <c r="I70" s="86">
        <v>47.95</v>
      </c>
      <c r="J70" s="85">
        <f t="shared" ref="J70:J74" si="26">H70*G70</f>
        <v>19.872</v>
      </c>
      <c r="K70" s="86">
        <f t="shared" ref="K70:K74" si="27">I70*J70</f>
        <v>952.86240000000009</v>
      </c>
      <c r="L70" s="86">
        <v>854.96</v>
      </c>
      <c r="M70" s="86">
        <f t="shared" ref="M70:M74" si="28">L70*G70</f>
        <v>854.96</v>
      </c>
      <c r="N70" s="86">
        <v>0</v>
      </c>
      <c r="O70" s="86">
        <f t="shared" ref="O70:O74" si="29">N70*G70</f>
        <v>0</v>
      </c>
      <c r="P70" s="86">
        <f t="shared" ref="P70:P74" si="30">IF(D70="","",(K70+M70+O70))</f>
        <v>1807.8224</v>
      </c>
      <c r="R70" s="51"/>
      <c r="S70" s="51"/>
    </row>
    <row r="71" spans="1:19" ht="13.5" customHeight="1" x14ac:dyDescent="0.2">
      <c r="A71" s="125">
        <f>IF(D71=0,"",1+MAX(A$12:A70))</f>
        <v>53</v>
      </c>
      <c r="B71" s="151"/>
      <c r="C71" s="53" t="s">
        <v>111</v>
      </c>
      <c r="D71" s="28">
        <v>431.35</v>
      </c>
      <c r="E71" s="28" t="s">
        <v>56</v>
      </c>
      <c r="F71" s="84">
        <v>0.1</v>
      </c>
      <c r="G71" s="85">
        <f t="shared" si="25"/>
        <v>474.48500000000001</v>
      </c>
      <c r="H71" s="85">
        <v>9.6199999999999994E-2</v>
      </c>
      <c r="I71" s="86">
        <v>47.95</v>
      </c>
      <c r="J71" s="85">
        <f t="shared" si="26"/>
        <v>45.645457</v>
      </c>
      <c r="K71" s="86">
        <f t="shared" si="27"/>
        <v>2188.6996631500001</v>
      </c>
      <c r="L71" s="86">
        <v>1.554</v>
      </c>
      <c r="M71" s="86">
        <f t="shared" si="28"/>
        <v>737.34969000000001</v>
      </c>
      <c r="N71" s="86">
        <v>0</v>
      </c>
      <c r="O71" s="86">
        <f t="shared" si="29"/>
        <v>0</v>
      </c>
      <c r="P71" s="86">
        <f t="shared" si="30"/>
        <v>2926.0493531500001</v>
      </c>
      <c r="R71" s="51"/>
      <c r="S71" s="51"/>
    </row>
    <row r="72" spans="1:19" ht="13.5" customHeight="1" x14ac:dyDescent="0.2">
      <c r="A72" s="125">
        <f>IF(D72=0,"",1+MAX(A$12:A71))</f>
        <v>54</v>
      </c>
      <c r="B72" s="151"/>
      <c r="C72" s="53" t="s">
        <v>112</v>
      </c>
      <c r="D72" s="28">
        <f>432/6</f>
        <v>72</v>
      </c>
      <c r="E72" s="28" t="s">
        <v>55</v>
      </c>
      <c r="F72" s="84">
        <v>0</v>
      </c>
      <c r="G72" s="85">
        <f t="shared" si="25"/>
        <v>72</v>
      </c>
      <c r="H72" s="85">
        <v>0.64380000000000004</v>
      </c>
      <c r="I72" s="86">
        <v>47.95</v>
      </c>
      <c r="J72" s="85">
        <f t="shared" si="26"/>
        <v>46.3536</v>
      </c>
      <c r="K72" s="86">
        <f t="shared" si="27"/>
        <v>2222.6551200000004</v>
      </c>
      <c r="L72" s="86">
        <v>26.621500000000001</v>
      </c>
      <c r="M72" s="86">
        <f t="shared" si="28"/>
        <v>1916.748</v>
      </c>
      <c r="N72" s="86">
        <v>0</v>
      </c>
      <c r="O72" s="86">
        <f t="shared" si="29"/>
        <v>0</v>
      </c>
      <c r="P72" s="86">
        <f t="shared" si="30"/>
        <v>4139.4031200000009</v>
      </c>
      <c r="R72" s="51"/>
      <c r="S72" s="51"/>
    </row>
    <row r="73" spans="1:19" ht="13.5" customHeight="1" x14ac:dyDescent="0.2">
      <c r="A73" s="125">
        <f>IF(D73=0,"",1+MAX(A$12:A72))</f>
        <v>55</v>
      </c>
      <c r="B73" s="151"/>
      <c r="C73" s="53" t="s">
        <v>113</v>
      </c>
      <c r="D73" s="28">
        <v>3.82</v>
      </c>
      <c r="E73" s="28" t="s">
        <v>56</v>
      </c>
      <c r="F73" s="84">
        <v>0.1</v>
      </c>
      <c r="G73" s="85">
        <f t="shared" si="25"/>
        <v>4.202</v>
      </c>
      <c r="H73" s="85">
        <v>0.222</v>
      </c>
      <c r="I73" s="86">
        <v>47.95</v>
      </c>
      <c r="J73" s="85">
        <f t="shared" si="26"/>
        <v>0.93284400000000001</v>
      </c>
      <c r="K73" s="86">
        <f t="shared" si="27"/>
        <v>44.729869800000003</v>
      </c>
      <c r="L73" s="86">
        <v>4.7730000000000006</v>
      </c>
      <c r="M73" s="86">
        <f t="shared" si="28"/>
        <v>20.056146000000002</v>
      </c>
      <c r="N73" s="86">
        <v>0</v>
      </c>
      <c r="O73" s="86">
        <f t="shared" si="29"/>
        <v>0</v>
      </c>
      <c r="P73" s="86">
        <f t="shared" si="30"/>
        <v>64.786015800000001</v>
      </c>
      <c r="R73" s="51"/>
      <c r="S73" s="51"/>
    </row>
    <row r="74" spans="1:19" ht="13.5" customHeight="1" x14ac:dyDescent="0.2">
      <c r="A74" s="125">
        <f>IF(D74=0,"",1+MAX(A$12:A73))</f>
        <v>56</v>
      </c>
      <c r="B74" s="151"/>
      <c r="C74" s="53" t="s">
        <v>114</v>
      </c>
      <c r="D74" s="28">
        <v>596.97</v>
      </c>
      <c r="E74" s="28" t="s">
        <v>52</v>
      </c>
      <c r="F74" s="84">
        <v>0.1</v>
      </c>
      <c r="G74" s="85">
        <f t="shared" si="25"/>
        <v>656.66700000000003</v>
      </c>
      <c r="H74" s="85">
        <v>5.7350000000000005E-2</v>
      </c>
      <c r="I74" s="86">
        <v>47.95</v>
      </c>
      <c r="J74" s="85">
        <f t="shared" si="26"/>
        <v>37.659852450000002</v>
      </c>
      <c r="K74" s="86">
        <f t="shared" si="27"/>
        <v>1805.7899249775003</v>
      </c>
      <c r="L74" s="86">
        <v>4.8470000000000004</v>
      </c>
      <c r="M74" s="86">
        <f t="shared" si="28"/>
        <v>3182.8649490000003</v>
      </c>
      <c r="N74" s="86">
        <v>0</v>
      </c>
      <c r="O74" s="86">
        <f t="shared" si="29"/>
        <v>0</v>
      </c>
      <c r="P74" s="86">
        <f t="shared" si="30"/>
        <v>4988.6548739775008</v>
      </c>
      <c r="R74" s="51"/>
      <c r="S74" s="51"/>
    </row>
    <row r="75" spans="1:19" ht="13.5" customHeight="1" x14ac:dyDescent="0.2">
      <c r="A75" s="125"/>
      <c r="B75" s="151"/>
      <c r="C75" s="77" t="s">
        <v>115</v>
      </c>
      <c r="D75" s="28"/>
      <c r="E75" s="28"/>
      <c r="F75" s="84"/>
      <c r="G75" s="85"/>
      <c r="H75" s="85"/>
      <c r="I75" s="86"/>
      <c r="J75" s="85"/>
      <c r="K75" s="86"/>
      <c r="L75" s="86"/>
      <c r="M75" s="86"/>
      <c r="N75" s="86"/>
      <c r="O75" s="86"/>
      <c r="P75" s="86"/>
      <c r="R75" s="51"/>
      <c r="S75" s="51"/>
    </row>
    <row r="76" spans="1:19" ht="13.5" customHeight="1" x14ac:dyDescent="0.2">
      <c r="A76" s="125"/>
      <c r="B76" s="151"/>
      <c r="C76" s="126" t="s">
        <v>116</v>
      </c>
      <c r="D76" s="28"/>
      <c r="E76" s="28"/>
      <c r="F76" s="84"/>
      <c r="G76" s="85"/>
      <c r="H76" s="85"/>
      <c r="I76" s="86"/>
      <c r="J76" s="85"/>
      <c r="K76" s="86"/>
      <c r="L76" s="86"/>
      <c r="M76" s="86"/>
      <c r="N76" s="86"/>
      <c r="O76" s="86"/>
      <c r="P76" s="86"/>
      <c r="R76" s="51"/>
      <c r="S76" s="51"/>
    </row>
    <row r="77" spans="1:19" ht="28.5" x14ac:dyDescent="0.2">
      <c r="A77" s="125">
        <f>IF(D77=0,"",1+MAX(A$12:A76))</f>
        <v>57</v>
      </c>
      <c r="B77" s="151"/>
      <c r="C77" s="53" t="s">
        <v>127</v>
      </c>
      <c r="D77" s="28">
        <v>3</v>
      </c>
      <c r="E77" s="28" t="s">
        <v>55</v>
      </c>
      <c r="F77" s="84">
        <v>0</v>
      </c>
      <c r="G77" s="85">
        <f t="shared" ref="G77:G82" si="31">(F77*D77)+D77</f>
        <v>3</v>
      </c>
      <c r="H77" s="85">
        <v>5.1260000000000003</v>
      </c>
      <c r="I77" s="86">
        <v>41.64</v>
      </c>
      <c r="J77" s="85">
        <f t="shared" ref="J77:J82" si="32">H77*G77</f>
        <v>15.378</v>
      </c>
      <c r="K77" s="86">
        <f t="shared" ref="K77:K82" si="33">I77*J77</f>
        <v>640.33992000000001</v>
      </c>
      <c r="L77" s="86">
        <v>287.5</v>
      </c>
      <c r="M77" s="86">
        <f t="shared" ref="M77:M82" si="34">L77*G77</f>
        <v>862.5</v>
      </c>
      <c r="N77" s="86">
        <v>0</v>
      </c>
      <c r="O77" s="86">
        <f t="shared" ref="O77:O82" si="35">N77*G77</f>
        <v>0</v>
      </c>
      <c r="P77" s="86">
        <f t="shared" ref="P77:P82" si="36">IF(D77="","",(K77+M77+O77))</f>
        <v>1502.8399199999999</v>
      </c>
      <c r="R77" s="51"/>
      <c r="S77" s="51"/>
    </row>
    <row r="78" spans="1:19" ht="28.5" x14ac:dyDescent="0.2">
      <c r="A78" s="125">
        <f>IF(D78=0,"",1+MAX(A$12:A77))</f>
        <v>58</v>
      </c>
      <c r="B78" s="151"/>
      <c r="C78" s="53" t="s">
        <v>117</v>
      </c>
      <c r="D78" s="28">
        <v>4</v>
      </c>
      <c r="E78" s="28" t="s">
        <v>55</v>
      </c>
      <c r="F78" s="84">
        <v>0</v>
      </c>
      <c r="G78" s="85">
        <f t="shared" si="31"/>
        <v>4</v>
      </c>
      <c r="H78" s="85">
        <v>5.3470000000000004</v>
      </c>
      <c r="I78" s="86">
        <v>41.64</v>
      </c>
      <c r="J78" s="85">
        <f t="shared" si="32"/>
        <v>21.388000000000002</v>
      </c>
      <c r="K78" s="86">
        <f t="shared" si="33"/>
        <v>890.59632000000011</v>
      </c>
      <c r="L78" s="86">
        <v>294.95</v>
      </c>
      <c r="M78" s="86">
        <f t="shared" si="34"/>
        <v>1179.8</v>
      </c>
      <c r="N78" s="86">
        <v>0</v>
      </c>
      <c r="O78" s="86">
        <f t="shared" si="35"/>
        <v>0</v>
      </c>
      <c r="P78" s="86">
        <f t="shared" si="36"/>
        <v>2070.3963199999998</v>
      </c>
      <c r="R78" s="51"/>
      <c r="S78" s="51"/>
    </row>
    <row r="79" spans="1:19" ht="28.5" x14ac:dyDescent="0.2">
      <c r="A79" s="125">
        <f>IF(D79=0,"",1+MAX(A$12:A78))</f>
        <v>59</v>
      </c>
      <c r="B79" s="151"/>
      <c r="C79" s="53" t="s">
        <v>118</v>
      </c>
      <c r="D79" s="28">
        <v>3</v>
      </c>
      <c r="E79" s="28" t="s">
        <v>55</v>
      </c>
      <c r="F79" s="84">
        <v>0</v>
      </c>
      <c r="G79" s="85">
        <f t="shared" si="31"/>
        <v>3</v>
      </c>
      <c r="H79" s="85">
        <v>6.9939999999999998</v>
      </c>
      <c r="I79" s="86">
        <v>41.64</v>
      </c>
      <c r="J79" s="85">
        <f t="shared" si="32"/>
        <v>20.981999999999999</v>
      </c>
      <c r="K79" s="86">
        <f t="shared" si="33"/>
        <v>873.69047999999998</v>
      </c>
      <c r="L79" s="86">
        <v>335.97</v>
      </c>
      <c r="M79" s="86">
        <f t="shared" si="34"/>
        <v>1007.9100000000001</v>
      </c>
      <c r="N79" s="86">
        <v>0</v>
      </c>
      <c r="O79" s="86">
        <f t="shared" si="35"/>
        <v>0</v>
      </c>
      <c r="P79" s="86">
        <f t="shared" si="36"/>
        <v>1881.6004800000001</v>
      </c>
      <c r="R79" s="51"/>
      <c r="S79" s="51"/>
    </row>
    <row r="80" spans="1:19" ht="28.5" x14ac:dyDescent="0.2">
      <c r="A80" s="125">
        <f>IF(D80=0,"",1+MAX(A$12:A79))</f>
        <v>60</v>
      </c>
      <c r="B80" s="151"/>
      <c r="C80" s="53" t="s">
        <v>119</v>
      </c>
      <c r="D80" s="28">
        <v>2</v>
      </c>
      <c r="E80" s="28" t="s">
        <v>55</v>
      </c>
      <c r="F80" s="84">
        <v>0</v>
      </c>
      <c r="G80" s="85">
        <f t="shared" si="31"/>
        <v>2</v>
      </c>
      <c r="H80" s="85">
        <v>6.6470000000000002</v>
      </c>
      <c r="I80" s="86">
        <v>41.64</v>
      </c>
      <c r="J80" s="85">
        <f t="shared" si="32"/>
        <v>13.294</v>
      </c>
      <c r="K80" s="86">
        <f t="shared" si="33"/>
        <v>553.56216000000006</v>
      </c>
      <c r="L80" s="86">
        <v>319</v>
      </c>
      <c r="M80" s="86">
        <f t="shared" si="34"/>
        <v>638</v>
      </c>
      <c r="N80" s="86">
        <v>0</v>
      </c>
      <c r="O80" s="86">
        <f t="shared" si="35"/>
        <v>0</v>
      </c>
      <c r="P80" s="86">
        <f t="shared" si="36"/>
        <v>1191.5621599999999</v>
      </c>
      <c r="R80" s="51"/>
      <c r="S80" s="51"/>
    </row>
    <row r="81" spans="1:19" ht="28.5" x14ac:dyDescent="0.2">
      <c r="A81" s="125">
        <f>IF(D81=0,"",1+MAX(A$12:A80))</f>
        <v>61</v>
      </c>
      <c r="B81" s="151"/>
      <c r="C81" s="53" t="s">
        <v>120</v>
      </c>
      <c r="D81" s="28">
        <v>4</v>
      </c>
      <c r="E81" s="28" t="s">
        <v>55</v>
      </c>
      <c r="F81" s="84">
        <v>0</v>
      </c>
      <c r="G81" s="85">
        <f t="shared" si="31"/>
        <v>4</v>
      </c>
      <c r="H81" s="85">
        <v>7.5830000000000002</v>
      </c>
      <c r="I81" s="86">
        <v>41.64</v>
      </c>
      <c r="J81" s="85">
        <f t="shared" si="32"/>
        <v>30.332000000000001</v>
      </c>
      <c r="K81" s="86">
        <f t="shared" si="33"/>
        <v>1263.02448</v>
      </c>
      <c r="L81" s="86">
        <v>395</v>
      </c>
      <c r="M81" s="86">
        <f t="shared" si="34"/>
        <v>1580</v>
      </c>
      <c r="N81" s="86">
        <v>0</v>
      </c>
      <c r="O81" s="86">
        <f t="shared" si="35"/>
        <v>0</v>
      </c>
      <c r="P81" s="86">
        <f t="shared" si="36"/>
        <v>2843.02448</v>
      </c>
      <c r="R81" s="51"/>
      <c r="S81" s="51"/>
    </row>
    <row r="82" spans="1:19" ht="28.5" x14ac:dyDescent="0.2">
      <c r="A82" s="125">
        <f>IF(D82=0,"",1+MAX(A$12:A81))</f>
        <v>62</v>
      </c>
      <c r="B82" s="151"/>
      <c r="C82" s="53" t="s">
        <v>121</v>
      </c>
      <c r="D82" s="28">
        <v>2</v>
      </c>
      <c r="E82" s="28" t="s">
        <v>55</v>
      </c>
      <c r="F82" s="84">
        <v>0</v>
      </c>
      <c r="G82" s="85">
        <f t="shared" si="31"/>
        <v>2</v>
      </c>
      <c r="H82" s="85">
        <v>6.8150000000000004</v>
      </c>
      <c r="I82" s="86">
        <v>41.64</v>
      </c>
      <c r="J82" s="85">
        <f t="shared" si="32"/>
        <v>13.63</v>
      </c>
      <c r="K82" s="86">
        <f t="shared" si="33"/>
        <v>567.55320000000006</v>
      </c>
      <c r="L82" s="86">
        <v>325</v>
      </c>
      <c r="M82" s="86">
        <f t="shared" si="34"/>
        <v>650</v>
      </c>
      <c r="N82" s="86">
        <v>0</v>
      </c>
      <c r="O82" s="86">
        <f t="shared" si="35"/>
        <v>0</v>
      </c>
      <c r="P82" s="86">
        <f t="shared" si="36"/>
        <v>1217.5532000000001</v>
      </c>
      <c r="R82" s="51"/>
      <c r="S82" s="51"/>
    </row>
    <row r="83" spans="1:19" ht="13.5" customHeight="1" x14ac:dyDescent="0.2">
      <c r="A83" s="125"/>
      <c r="B83" s="151"/>
      <c r="C83" s="126" t="s">
        <v>122</v>
      </c>
      <c r="D83" s="28"/>
      <c r="E83" s="28"/>
      <c r="F83" s="84"/>
      <c r="G83" s="85"/>
      <c r="H83" s="85"/>
      <c r="I83" s="86"/>
      <c r="J83" s="85"/>
      <c r="K83" s="86"/>
      <c r="L83" s="86"/>
      <c r="M83" s="86"/>
      <c r="N83" s="86"/>
      <c r="O83" s="86"/>
      <c r="P83" s="86"/>
      <c r="R83" s="51"/>
      <c r="S83" s="51"/>
    </row>
    <row r="84" spans="1:19" ht="28.5" x14ac:dyDescent="0.2">
      <c r="A84" s="125">
        <f>IF(D84=0,"",1+MAX(A$12:A83))</f>
        <v>63</v>
      </c>
      <c r="B84" s="151"/>
      <c r="C84" s="53" t="s">
        <v>125</v>
      </c>
      <c r="D84" s="28">
        <v>47</v>
      </c>
      <c r="E84" s="28" t="s">
        <v>55</v>
      </c>
      <c r="F84" s="84">
        <v>0</v>
      </c>
      <c r="G84" s="85">
        <f t="shared" ref="G84:G85" si="37">(F84*D84)+D84</f>
        <v>47</v>
      </c>
      <c r="H84" s="85">
        <v>0.71199999999999997</v>
      </c>
      <c r="I84" s="86">
        <v>41.64</v>
      </c>
      <c r="J84" s="85">
        <f t="shared" ref="J84:J85" si="38">H84*G84</f>
        <v>33.463999999999999</v>
      </c>
      <c r="K84" s="86">
        <f t="shared" ref="K84:K85" si="39">I84*J84</f>
        <v>1393.4409599999999</v>
      </c>
      <c r="L84" s="86">
        <v>27.98</v>
      </c>
      <c r="M84" s="86">
        <f t="shared" ref="M84:M85" si="40">L84*G84</f>
        <v>1315.06</v>
      </c>
      <c r="N84" s="86">
        <v>0</v>
      </c>
      <c r="O84" s="86">
        <f t="shared" ref="O84:O85" si="41">N84*G84</f>
        <v>0</v>
      </c>
      <c r="P84" s="86">
        <f t="shared" ref="P84:P85" si="42">IF(D84="","",(K84+M84+O84))</f>
        <v>2708.5009599999998</v>
      </c>
      <c r="R84" s="51"/>
      <c r="S84" s="51"/>
    </row>
    <row r="85" spans="1:19" ht="28.5" x14ac:dyDescent="0.2">
      <c r="A85" s="125">
        <f>IF(D85=0,"",1+MAX(A$12:A84))</f>
        <v>64</v>
      </c>
      <c r="B85" s="151"/>
      <c r="C85" s="53" t="s">
        <v>126</v>
      </c>
      <c r="D85" s="28">
        <v>109</v>
      </c>
      <c r="E85" s="28" t="s">
        <v>55</v>
      </c>
      <c r="F85" s="84">
        <v>0</v>
      </c>
      <c r="G85" s="85">
        <f t="shared" si="37"/>
        <v>109</v>
      </c>
      <c r="H85" s="85">
        <v>0.753</v>
      </c>
      <c r="I85" s="86">
        <v>41.64</v>
      </c>
      <c r="J85" s="85">
        <f t="shared" si="38"/>
        <v>82.076999999999998</v>
      </c>
      <c r="K85" s="86">
        <f t="shared" si="39"/>
        <v>3417.6862799999999</v>
      </c>
      <c r="L85" s="86">
        <v>28.98</v>
      </c>
      <c r="M85" s="86">
        <f t="shared" si="40"/>
        <v>3158.82</v>
      </c>
      <c r="N85" s="86">
        <v>0</v>
      </c>
      <c r="O85" s="86">
        <f t="shared" si="41"/>
        <v>0</v>
      </c>
      <c r="P85" s="86">
        <f t="shared" si="42"/>
        <v>6576.5062799999996</v>
      </c>
      <c r="R85" s="51"/>
      <c r="S85" s="51"/>
    </row>
    <row r="86" spans="1:19" ht="13.5" customHeight="1" x14ac:dyDescent="0.2">
      <c r="A86" s="125"/>
      <c r="B86" s="151"/>
      <c r="C86" s="126" t="s">
        <v>123</v>
      </c>
      <c r="D86" s="28"/>
      <c r="E86" s="28"/>
      <c r="F86" s="84"/>
      <c r="G86" s="85"/>
      <c r="H86" s="85"/>
      <c r="I86" s="86"/>
      <c r="J86" s="85"/>
      <c r="K86" s="86"/>
      <c r="L86" s="86"/>
      <c r="M86" s="86"/>
      <c r="N86" s="86"/>
      <c r="O86" s="86"/>
      <c r="P86" s="86"/>
      <c r="R86" s="51"/>
      <c r="S86" s="51"/>
    </row>
    <row r="87" spans="1:19" ht="28.5" x14ac:dyDescent="0.2">
      <c r="A87" s="125">
        <f>IF(D87=0,"",1+MAX(A$12:A86))</f>
        <v>65</v>
      </c>
      <c r="B87" s="151"/>
      <c r="C87" s="53" t="s">
        <v>124</v>
      </c>
      <c r="D87" s="28">
        <v>1202.8499999999999</v>
      </c>
      <c r="E87" s="28" t="s">
        <v>52</v>
      </c>
      <c r="F87" s="84">
        <v>0.1</v>
      </c>
      <c r="G87" s="85">
        <f t="shared" ref="G87" si="43">(F87*D87)+D87</f>
        <v>1323.135</v>
      </c>
      <c r="H87" s="85">
        <v>2.5999999999999999E-2</v>
      </c>
      <c r="I87" s="86">
        <v>41.64</v>
      </c>
      <c r="J87" s="85">
        <f t="shared" ref="J87" si="44">H87*G87</f>
        <v>34.401509999999995</v>
      </c>
      <c r="K87" s="86">
        <f t="shared" ref="K87" si="45">I87*J87</f>
        <v>1432.4788763999998</v>
      </c>
      <c r="L87" s="86">
        <v>0.68</v>
      </c>
      <c r="M87" s="86">
        <f t="shared" ref="M87" si="46">L87*G87</f>
        <v>899.73180000000002</v>
      </c>
      <c r="N87" s="86">
        <v>0</v>
      </c>
      <c r="O87" s="86">
        <f t="shared" ref="O87" si="47">N87*G87</f>
        <v>0</v>
      </c>
      <c r="P87" s="86">
        <f t="shared" ref="P87" si="48">IF(D87="","",(K87+M87+O87))</f>
        <v>2332.2106764</v>
      </c>
      <c r="R87" s="51"/>
      <c r="S87" s="51"/>
    </row>
    <row r="88" spans="1:19" s="3" customFormat="1" ht="18" customHeight="1" x14ac:dyDescent="0.2">
      <c r="A88" s="117" t="str">
        <f>IF(E88=0,"",1+MAX(#REF!))</f>
        <v/>
      </c>
      <c r="B88" s="118"/>
      <c r="C88" s="119"/>
      <c r="D88" s="120"/>
      <c r="E88" s="120"/>
      <c r="F88" s="120"/>
      <c r="G88" s="121"/>
      <c r="H88" s="120"/>
      <c r="I88" s="120"/>
      <c r="J88" s="120"/>
      <c r="K88" s="120"/>
      <c r="L88" s="120"/>
      <c r="M88" s="120"/>
      <c r="N88" s="120"/>
      <c r="O88" s="120" t="s">
        <v>24</v>
      </c>
      <c r="P88" s="122">
        <f>SUM(P22:P87)</f>
        <v>217897.96656368722</v>
      </c>
    </row>
    <row r="89" spans="1:19" ht="18" customHeight="1" x14ac:dyDescent="0.2">
      <c r="A89" s="143"/>
      <c r="B89" s="144"/>
      <c r="C89" s="144"/>
      <c r="D89" s="144"/>
      <c r="E89" s="144"/>
      <c r="F89" s="144"/>
      <c r="G89" s="144"/>
      <c r="H89" s="144"/>
      <c r="I89" s="144"/>
      <c r="J89" s="144"/>
      <c r="K89" s="144"/>
      <c r="L89" s="144"/>
      <c r="M89" s="144"/>
      <c r="N89" s="69"/>
      <c r="O89" s="69"/>
      <c r="P89" s="26"/>
    </row>
    <row r="90" spans="1:19" s="92" customFormat="1" ht="20.100000000000001" customHeight="1" x14ac:dyDescent="0.2">
      <c r="A90" s="147" t="s">
        <v>12</v>
      </c>
      <c r="B90" s="148"/>
      <c r="C90" s="148"/>
      <c r="D90" s="148"/>
      <c r="E90" s="148"/>
      <c r="F90" s="148"/>
      <c r="G90" s="148"/>
      <c r="H90" s="148"/>
      <c r="I90" s="148"/>
      <c r="J90" s="148"/>
      <c r="K90" s="148"/>
      <c r="L90" s="148"/>
      <c r="M90" s="148"/>
      <c r="N90" s="148"/>
      <c r="O90" s="115"/>
      <c r="P90" s="116">
        <f>SUM(P11:P89)/2</f>
        <v>243675.2960081714</v>
      </c>
    </row>
    <row r="91" spans="1:19" s="92" customFormat="1" ht="20.100000000000001" customHeight="1" x14ac:dyDescent="0.2">
      <c r="A91" s="147" t="s">
        <v>20</v>
      </c>
      <c r="B91" s="148"/>
      <c r="C91" s="148"/>
      <c r="D91" s="148"/>
      <c r="E91" s="148"/>
      <c r="F91" s="148"/>
      <c r="G91" s="148"/>
      <c r="H91" s="148"/>
      <c r="I91" s="148"/>
      <c r="J91" s="148"/>
      <c r="K91" s="148"/>
      <c r="L91" s="148"/>
      <c r="M91" s="148"/>
      <c r="N91" s="148"/>
      <c r="O91" s="115">
        <v>0.2</v>
      </c>
      <c r="P91" s="116">
        <f>$P$90*O91</f>
        <v>48735.059201634285</v>
      </c>
    </row>
    <row r="92" spans="1:19" s="92" customFormat="1" ht="20.100000000000001" customHeight="1" x14ac:dyDescent="0.2">
      <c r="A92" s="147" t="s">
        <v>5</v>
      </c>
      <c r="B92" s="148"/>
      <c r="C92" s="148"/>
      <c r="D92" s="148"/>
      <c r="E92" s="148"/>
      <c r="F92" s="148"/>
      <c r="G92" s="148"/>
      <c r="H92" s="148"/>
      <c r="I92" s="148"/>
      <c r="J92" s="148"/>
      <c r="K92" s="148"/>
      <c r="L92" s="148"/>
      <c r="M92" s="148"/>
      <c r="N92" s="148"/>
      <c r="O92" s="115">
        <v>0.03</v>
      </c>
      <c r="P92" s="116">
        <f>$P$90*O92</f>
        <v>7310.2588802451419</v>
      </c>
    </row>
    <row r="93" spans="1:19" s="92" customFormat="1" ht="20.100000000000001" customHeight="1" x14ac:dyDescent="0.2">
      <c r="A93" s="147" t="s">
        <v>18</v>
      </c>
      <c r="B93" s="148"/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15">
        <v>0.05</v>
      </c>
      <c r="P93" s="116">
        <f>$P$90*O93</f>
        <v>12183.764800408571</v>
      </c>
    </row>
    <row r="94" spans="1:19" s="3" customFormat="1" ht="20.100000000000001" customHeight="1" x14ac:dyDescent="0.2">
      <c r="A94" s="145" t="s">
        <v>13</v>
      </c>
      <c r="B94" s="146"/>
      <c r="C94" s="146"/>
      <c r="D94" s="146"/>
      <c r="E94" s="146"/>
      <c r="F94" s="146"/>
      <c r="G94" s="146"/>
      <c r="H94" s="146"/>
      <c r="I94" s="146"/>
      <c r="J94" s="146"/>
      <c r="K94" s="146"/>
      <c r="L94" s="146"/>
      <c r="M94" s="146"/>
      <c r="N94" s="123"/>
      <c r="O94" s="123"/>
      <c r="P94" s="124">
        <f>SUM(P90:P93)</f>
        <v>311904.37889045937</v>
      </c>
    </row>
    <row r="95" spans="1:19" ht="20.100000000000001" customHeight="1" x14ac:dyDescent="0.2">
      <c r="A95" s="67" t="s">
        <v>39</v>
      </c>
      <c r="B95" s="11"/>
      <c r="C95" s="30"/>
      <c r="D95" s="31"/>
      <c r="E95" s="30"/>
      <c r="F95" s="31"/>
      <c r="G95" s="48"/>
      <c r="H95" s="30"/>
      <c r="I95" s="30"/>
      <c r="J95" s="30"/>
      <c r="K95" s="30"/>
      <c r="L95" s="30"/>
      <c r="M95" s="30"/>
      <c r="N95" s="30"/>
      <c r="O95" s="30"/>
      <c r="P95" s="32"/>
    </row>
    <row r="96" spans="1:19" ht="30" customHeight="1" x14ac:dyDescent="0.2">
      <c r="A96" s="63"/>
      <c r="B96" s="141" t="s">
        <v>58</v>
      </c>
      <c r="C96" s="141"/>
      <c r="D96" s="141"/>
      <c r="E96" s="141"/>
      <c r="F96" s="141"/>
      <c r="G96" s="141"/>
      <c r="H96" s="141"/>
      <c r="I96" s="141"/>
      <c r="J96" s="141"/>
      <c r="K96" s="141"/>
      <c r="L96" s="141"/>
      <c r="M96" s="141"/>
      <c r="N96" s="141"/>
      <c r="O96" s="141"/>
      <c r="P96" s="52"/>
    </row>
    <row r="97" spans="1:16" ht="20.100000000000001" customHeight="1" x14ac:dyDescent="0.2">
      <c r="A97" s="63"/>
      <c r="B97" s="64"/>
      <c r="C97" s="65"/>
      <c r="D97" s="66"/>
      <c r="E97" s="30"/>
      <c r="F97" s="31"/>
      <c r="G97" s="48"/>
      <c r="H97" s="30"/>
      <c r="I97" s="30"/>
      <c r="J97" s="30"/>
      <c r="K97" s="30"/>
      <c r="L97" s="30"/>
      <c r="M97" s="30"/>
      <c r="N97" s="30"/>
      <c r="O97" s="30"/>
      <c r="P97" s="32"/>
    </row>
    <row r="98" spans="1:16" ht="20.100000000000001" customHeight="1" x14ac:dyDescent="0.2">
      <c r="A98" s="63"/>
      <c r="C98" s="70" t="s">
        <v>41</v>
      </c>
      <c r="D98" s="7"/>
      <c r="F98" s="30"/>
      <c r="G98" s="30"/>
      <c r="H98" s="30"/>
      <c r="M98" s="70" t="s">
        <v>42</v>
      </c>
      <c r="N98" s="31"/>
      <c r="O98" s="30"/>
      <c r="P98" s="32"/>
    </row>
    <row r="99" spans="1:16" ht="19.7" customHeight="1" x14ac:dyDescent="0.2">
      <c r="A99" s="71"/>
      <c r="B99" s="7">
        <v>1</v>
      </c>
      <c r="C99" s="72" t="s">
        <v>43</v>
      </c>
      <c r="D99" s="7"/>
      <c r="F99" s="30"/>
      <c r="G99" s="30"/>
      <c r="H99" s="30"/>
      <c r="M99" s="73" t="s">
        <v>51</v>
      </c>
      <c r="N99" s="31"/>
      <c r="O99" s="30"/>
      <c r="P99" s="52"/>
    </row>
    <row r="100" spans="1:16" ht="20.100000000000001" customHeight="1" x14ac:dyDescent="0.2">
      <c r="A100" s="63"/>
      <c r="C100" s="73"/>
      <c r="D100" s="73"/>
      <c r="F100" s="30"/>
      <c r="G100" s="30"/>
      <c r="H100" s="30"/>
      <c r="M100" s="73" t="s">
        <v>44</v>
      </c>
      <c r="N100" s="31"/>
      <c r="O100" s="30"/>
      <c r="P100" s="52"/>
    </row>
    <row r="101" spans="1:16" ht="20.100000000000001" customHeight="1" x14ac:dyDescent="0.2">
      <c r="A101" s="63"/>
      <c r="D101" s="66"/>
      <c r="F101" s="30"/>
      <c r="G101" s="30"/>
      <c r="H101" s="30"/>
      <c r="M101" s="73" t="s">
        <v>45</v>
      </c>
      <c r="N101" s="74"/>
      <c r="O101" s="30"/>
      <c r="P101" s="32"/>
    </row>
    <row r="102" spans="1:16" ht="20.100000000000001" customHeight="1" x14ac:dyDescent="0.2">
      <c r="A102" s="63"/>
      <c r="C102" s="75"/>
      <c r="D102" s="66"/>
      <c r="F102" s="30"/>
      <c r="G102" s="30"/>
      <c r="H102" s="30"/>
      <c r="M102" s="73" t="s">
        <v>46</v>
      </c>
      <c r="N102" s="14"/>
      <c r="O102" s="30"/>
      <c r="P102" s="32"/>
    </row>
    <row r="103" spans="1:16" ht="20.100000000000001" customHeight="1" x14ac:dyDescent="0.2">
      <c r="A103" s="63"/>
      <c r="D103" s="66"/>
      <c r="F103" s="30"/>
      <c r="G103" s="30"/>
      <c r="H103" s="30"/>
      <c r="M103" s="73" t="s">
        <v>47</v>
      </c>
      <c r="N103" s="14"/>
      <c r="O103" s="30"/>
      <c r="P103" s="52"/>
    </row>
    <row r="104" spans="1:16" ht="20.100000000000001" customHeight="1" x14ac:dyDescent="0.2">
      <c r="A104" s="63"/>
      <c r="C104" s="65"/>
      <c r="D104" s="66"/>
      <c r="J104" s="30"/>
      <c r="K104" s="30"/>
      <c r="L104" s="30"/>
      <c r="M104" s="73" t="s">
        <v>48</v>
      </c>
      <c r="N104" s="14"/>
      <c r="O104" s="30"/>
      <c r="P104" s="52"/>
    </row>
    <row r="105" spans="1:16" ht="20.100000000000001" customHeight="1" x14ac:dyDescent="0.2">
      <c r="A105" s="63"/>
      <c r="C105" s="65"/>
      <c r="D105" s="66"/>
      <c r="J105" s="30"/>
      <c r="K105" s="30"/>
      <c r="L105" s="30"/>
      <c r="M105" s="73" t="s">
        <v>49</v>
      </c>
      <c r="N105" s="14"/>
      <c r="O105" s="30"/>
      <c r="P105" s="32"/>
    </row>
    <row r="106" spans="1:16" ht="20.100000000000001" customHeight="1" x14ac:dyDescent="0.2">
      <c r="A106" s="63"/>
      <c r="C106" s="65"/>
      <c r="D106" s="66"/>
      <c r="J106" s="30"/>
      <c r="K106" s="30"/>
      <c r="L106" s="30"/>
      <c r="M106" s="73" t="s">
        <v>50</v>
      </c>
      <c r="N106" s="14"/>
      <c r="O106" s="30"/>
      <c r="P106" s="32"/>
    </row>
    <row r="107" spans="1:16" ht="15.75" customHeight="1" x14ac:dyDescent="0.2">
      <c r="A107" s="63"/>
      <c r="B107" s="64"/>
      <c r="C107" s="65"/>
      <c r="D107" s="66"/>
      <c r="E107" s="30"/>
      <c r="F107" s="31"/>
      <c r="G107" s="48"/>
      <c r="H107" s="30"/>
      <c r="I107" s="30"/>
      <c r="J107" s="30"/>
      <c r="K107" s="30"/>
      <c r="L107" s="30"/>
      <c r="M107" s="30"/>
      <c r="N107" s="30"/>
      <c r="O107" s="30"/>
      <c r="P107" s="52"/>
    </row>
    <row r="108" spans="1:16" ht="15.75" customHeight="1" thickBot="1" x14ac:dyDescent="0.25">
      <c r="A108" s="12"/>
      <c r="B108" s="13"/>
      <c r="C108" s="33"/>
      <c r="D108" s="34"/>
      <c r="E108" s="33"/>
      <c r="F108" s="34"/>
      <c r="G108" s="49"/>
      <c r="H108" s="33"/>
      <c r="I108" s="33"/>
      <c r="J108" s="33"/>
      <c r="K108" s="33"/>
      <c r="L108" s="33"/>
      <c r="M108" s="33"/>
      <c r="N108" s="33"/>
      <c r="O108" s="33"/>
      <c r="P108" s="35"/>
    </row>
  </sheetData>
  <mergeCells count="22">
    <mergeCell ref="B96:O96"/>
    <mergeCell ref="K8:L8"/>
    <mergeCell ref="M5:N5"/>
    <mergeCell ref="M6:N6"/>
    <mergeCell ref="M8:N8"/>
    <mergeCell ref="M7:N7"/>
    <mergeCell ref="A89:M89"/>
    <mergeCell ref="A94:M94"/>
    <mergeCell ref="A90:N90"/>
    <mergeCell ref="A91:N91"/>
    <mergeCell ref="A92:N92"/>
    <mergeCell ref="A93:N93"/>
    <mergeCell ref="B11:O11"/>
    <mergeCell ref="B21:O21"/>
    <mergeCell ref="B23:B87"/>
    <mergeCell ref="K3:L3"/>
    <mergeCell ref="M3:N3"/>
    <mergeCell ref="M4:N4"/>
    <mergeCell ref="K4:L4"/>
    <mergeCell ref="K7:L7"/>
    <mergeCell ref="K6:L6"/>
    <mergeCell ref="K5:L5"/>
  </mergeCells>
  <conditionalFormatting sqref="B7">
    <cfRule type="expression" dxfId="0" priority="2">
      <formula>ISBLANK(B7)</formula>
    </cfRule>
  </conditionalFormatting>
  <pageMargins left="0" right="0" top="1" bottom="0" header="0" footer="0"/>
  <pageSetup paperSize="9" scale="4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F1CAE7-969A-4FB3-A559-A8EBBA21487D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SUMMARY</vt:lpstr>
      <vt:lpstr>MATERIAL TAKE-OFF</vt:lpstr>
      <vt:lpstr>'MATERIAL TAKE-OFF'!Print_Area</vt:lpstr>
      <vt:lpstr>'MATERIAL TAKE-OFF'!Print_Titles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Mfbzone</dc:creator>
  <cp:lastModifiedBy>Hp</cp:lastModifiedBy>
  <cp:lastPrinted>2025-12-11T20:02:09Z</cp:lastPrinted>
  <dcterms:created xsi:type="dcterms:W3CDTF">2016-03-30T11:57:46Z</dcterms:created>
  <dcterms:modified xsi:type="dcterms:W3CDTF">2025-12-23T14:50:24Z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{07F1CAE7-969A-4FB3-A559-A8EBBA21487D}</vt:lpwstr>
  </property>
</Properties>
</file>