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TAKE-OFF'!$A$2:$P$50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32" i="1" l="1"/>
  <c r="P19" i="1"/>
  <c r="Q12" i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A14" i="1" s="1"/>
  <c r="A15" i="1" s="1"/>
  <c r="A16" i="1" s="1"/>
  <c r="A17" i="1" s="1"/>
  <c r="A18" i="1" s="1"/>
  <c r="G12" i="1"/>
  <c r="O12" i="1" s="1"/>
  <c r="O29" i="1"/>
  <c r="G29" i="1"/>
  <c r="M29" i="1" s="1"/>
  <c r="G28" i="1"/>
  <c r="J28" i="1" s="1"/>
  <c r="K28" i="1" s="1"/>
  <c r="G27" i="1"/>
  <c r="J27" i="1" s="1"/>
  <c r="K27" i="1" s="1"/>
  <c r="G26" i="1"/>
  <c r="O26" i="1" s="1"/>
  <c r="G25" i="1"/>
  <c r="O25" i="1" s="1"/>
  <c r="G24" i="1"/>
  <c r="O24" i="1" s="1"/>
  <c r="G23" i="1"/>
  <c r="M23" i="1" s="1"/>
  <c r="M12" i="1" l="1"/>
  <c r="M13" i="1"/>
  <c r="M14" i="1"/>
  <c r="M15" i="1"/>
  <c r="M16" i="1"/>
  <c r="M17" i="1"/>
  <c r="M18" i="1"/>
  <c r="O23" i="1"/>
  <c r="M28" i="1"/>
  <c r="M27" i="1"/>
  <c r="P27" i="1" s="1"/>
  <c r="M26" i="1"/>
  <c r="O28" i="1"/>
  <c r="O27" i="1"/>
  <c r="J26" i="1"/>
  <c r="K26" i="1" s="1"/>
  <c r="J23" i="1"/>
  <c r="K23" i="1" s="1"/>
  <c r="P23" i="1" s="1"/>
  <c r="M25" i="1"/>
  <c r="J25" i="1"/>
  <c r="K25" i="1" s="1"/>
  <c r="J24" i="1"/>
  <c r="K24" i="1" s="1"/>
  <c r="M24" i="1"/>
  <c r="J29" i="1"/>
  <c r="K29" i="1" s="1"/>
  <c r="P29" i="1" s="1"/>
  <c r="P28" i="1" l="1"/>
  <c r="P26" i="1"/>
  <c r="P24" i="1"/>
  <c r="P25" i="1"/>
  <c r="P30" i="1" l="1"/>
  <c r="A19" i="1"/>
  <c r="A20" i="1"/>
  <c r="A21" i="1"/>
  <c r="A22" i="1"/>
  <c r="A30" i="1"/>
  <c r="C12" i="3" l="1"/>
  <c r="D12" i="3" s="1"/>
  <c r="A23" i="1" l="1"/>
  <c r="A24" i="1" l="1"/>
  <c r="A25" i="1" s="1"/>
  <c r="A26" i="1" s="1"/>
  <c r="A27" i="1" s="1"/>
  <c r="A28" i="1" s="1"/>
  <c r="A29" i="1" s="1"/>
  <c r="H18" i="1" l="1"/>
  <c r="J18" i="1" s="1"/>
  <c r="K18" i="1" s="1"/>
  <c r="P18" i="1" s="1"/>
  <c r="P15" i="1"/>
  <c r="H17" i="1"/>
  <c r="J17" i="1" s="1"/>
  <c r="K17" i="1" s="1"/>
  <c r="P17" i="1" s="1"/>
  <c r="H13" i="1"/>
  <c r="J13" i="1" s="1"/>
  <c r="K13" i="1" s="1"/>
  <c r="P13" i="1" s="1"/>
  <c r="H15" i="1"/>
  <c r="J15" i="1"/>
  <c r="K15" i="1"/>
  <c r="H16" i="1"/>
  <c r="J16" i="1"/>
  <c r="K16" i="1" s="1"/>
  <c r="P16" i="1" s="1"/>
  <c r="H14" i="1"/>
  <c r="J14" i="1"/>
  <c r="K14" i="1"/>
  <c r="P14" i="1" s="1"/>
  <c r="H12" i="1"/>
  <c r="J12" i="1"/>
  <c r="K12" i="1" s="1"/>
  <c r="P12" i="1" s="1"/>
  <c r="C11" i="3" l="1"/>
  <c r="P33" i="1" l="1"/>
  <c r="P35" i="1"/>
  <c r="P34" i="1"/>
  <c r="C13" i="3"/>
  <c r="D11" i="3"/>
  <c r="D13" i="3" s="1"/>
  <c r="P36" i="1" l="1"/>
  <c r="D16" i="3"/>
  <c r="D17" i="3"/>
  <c r="D15" i="3"/>
  <c r="D18" i="3" s="1"/>
  <c r="C16" i="3"/>
  <c r="C17" i="3"/>
  <c r="C15" i="3"/>
  <c r="C18" i="3" s="1"/>
</calcChain>
</file>

<file path=xl/sharedStrings.xml><?xml version="1.0" encoding="utf-8"?>
<sst xmlns="http://schemas.openxmlformats.org/spreadsheetml/2006/main" count="88" uniqueCount="69">
  <si>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</si>
  <si>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</si>
  <si>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</si>
  <si>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</si>
  <si>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</si>
  <si>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</si>
  <si>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</si>
  <si>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</si>
  <si>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</si>
  <si>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</si>
  <si>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</si>
  <si>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</si>
  <si>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</si>
  <si>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</si>
  <si>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</si>
  <si>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</si>
  <si>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</si>
  <si>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</si>
  <si>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</si>
  <si>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</si>
  <si>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</si>
  <si>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</si>
  <si>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</si>
  <si>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</si>
  <si>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</si>
  <si>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</si>
  <si>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>Appliances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</si>
  <si>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</si>
  <si>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</si>
  <si>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</si>
  <si>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</si>
  <si>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</si>
  <si>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</si>
  <si>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</si>
  <si>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</si>
  <si>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</si>
  <si>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</si>
  <si>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</si>
  <si>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</si>
  <si>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</si>
  <si>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</si>
  <si>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</si>
  <si>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</si>
  <si>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</si>
  <si>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</si>
  <si>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</si>
  <si>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</si>
  <si>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</si>
  <si>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</si>
  <si>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</si>
  <si>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</si>
  <si>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</si>
  <si>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</si>
  <si>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Building GSF</t>
  </si>
  <si>
    <t>TOTAL DIV. COST (PER SF)</t>
  </si>
  <si>
    <t>EA</t>
  </si>
  <si>
    <t>01. GENERAL REQUIREMENTS</t>
  </si>
  <si>
    <t>11. APPLIANCES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</si>
  <si>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</si>
  <si>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Equipments</t>
  </si>
  <si>
    <t>A-220</t>
  </si>
  <si>
    <t>Pit Frames (Air Compressor)_x000D_
Purchased By: Corp_x000D_
Installed By: Vendor_x000D_
Vendor: Bear Services</t>
  </si>
  <si>
    <t>Oil Seperator_x000D_
Purchased By: GC_x000D_
Installed By: GC</t>
  </si>
  <si>
    <t>Rolling Drain Pans (Coolar Tank)_x000D_
Purchased By: Corp_x000D_
Installed By: Vendor_x000D_
Vendor: Bear Services</t>
  </si>
  <si>
    <t>Coolant Machine_x000D_
Purchased By: Corp_x000D_
Installed By: Vendor</t>
  </si>
  <si>
    <t>Podium Work Stations (Refrigerator)_x000D_
Purchased By: Corp_x000D_
Installed By: Operations</t>
  </si>
  <si>
    <t>Computers_x000D_
Purchased By: Corp_x000D_
Installed By: Operations</t>
  </si>
  <si>
    <t>Computer Monitors_x000D_
Purchased By: Corp_x000D_
Installed By: Operations</t>
  </si>
  <si>
    <t>APPLIANCES/EQUIPMENT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</si>
</sst>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F98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8">
      <alignment horizontal="left" vertical="center" wrapText="1"/>
    </xf>
    <xf numFmtId="39" fontId="4" fillId="0" borderId="18">
      <alignment horizontal="left" vertical="center" wrapText="1"/>
    </xf>
  </cellStyleXfs>
  <cellXfs count="148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vertical="center"/>
    </xf>
    <xf numFmtId="166" fontId="7" fillId="8" borderId="24" xfId="0" applyNumberFormat="1" applyFont="1" applyFill="1" applyBorder="1"/>
    <xf numFmtId="164" fontId="7" fillId="8" borderId="25" xfId="0" applyNumberFormat="1" applyFont="1" applyFill="1" applyBorder="1"/>
    <xf numFmtId="164" fontId="7" fillId="8" borderId="12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vertical="center"/>
    </xf>
    <xf numFmtId="0" fontId="10" fillId="9" borderId="22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12" fillId="9" borderId="7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3" xfId="0" applyNumberFormat="1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166" fontId="10" fillId="11" borderId="21" xfId="2" applyNumberFormat="1" applyFont="1" applyFill="1" applyBorder="1" applyAlignment="1">
      <alignment vertical="center"/>
    </xf>
    <xf numFmtId="166" fontId="10" fillId="11" borderId="8" xfId="2" applyNumberFormat="1" applyFont="1" applyFill="1" applyBorder="1" applyAlignment="1">
      <alignment vertical="center"/>
    </xf>
    <xf numFmtId="0" fontId="10" fillId="11" borderId="7" xfId="0" applyFont="1" applyFill="1" applyBorder="1" applyAlignment="1">
      <alignment vertical="center"/>
    </xf>
    <xf numFmtId="0" fontId="10" fillId="11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2" fontId="10" fillId="11" borderId="0" xfId="0" applyNumberFormat="1" applyFont="1" applyFill="1" applyAlignment="1">
      <alignment vertical="center"/>
    </xf>
    <xf numFmtId="168" fontId="10" fillId="11" borderId="10" xfId="0" applyNumberFormat="1" applyFont="1" applyFill="1" applyBorder="1" applyAlignment="1">
      <alignment vertical="center"/>
    </xf>
    <xf numFmtId="0" fontId="10" fillId="11" borderId="4" xfId="0" applyFont="1" applyFill="1" applyBorder="1" applyAlignment="1">
      <alignment horizontal="center" vertical="center"/>
    </xf>
    <xf numFmtId="165" fontId="10" fillId="11" borderId="12" xfId="0" applyNumberFormat="1" applyFont="1" applyFill="1" applyBorder="1" applyAlignment="1">
      <alignment horizontal="center" vertical="center"/>
    </xf>
    <xf numFmtId="0" fontId="10" fillId="11" borderId="21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11" borderId="19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9" fontId="9" fillId="0" borderId="30" xfId="0" applyNumberFormat="1" applyFont="1" applyBorder="1" applyAlignment="1">
      <alignment horizontal="center" vertical="center" wrapText="1"/>
    </xf>
    <xf numFmtId="39" fontId="9" fillId="0" borderId="31" xfId="0" applyNumberFormat="1" applyFont="1" applyBorder="1" applyAlignment="1">
      <alignment horizontal="center" vertical="center" wrapText="1"/>
    </xf>
    <xf numFmtId="39" fontId="9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11" borderId="1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24" fillId="9" borderId="14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F9843"/>
      <color rgb="FF067BC2"/>
      <color rgb="FF3366CC"/>
      <color rgb="FF4F81BD"/>
      <color rgb="FF0000B3"/>
      <color rgb="FF00B300"/>
      <color rgb="FFEFF5F5"/>
      <color rgb="FF3399FF"/>
      <color rgb="FFA744B8"/>
      <color rgb="FF8533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67BC2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Appliances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3492.7531293200004</c:v>
                </c:pt>
                <c:pt idx="1">
                  <c:v>29524.540400000002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710976"/>
        <c:axId val="197712512"/>
        <c:axId val="0"/>
      </c:bar3DChart>
      <c:catAx>
        <c:axId val="19771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12512"/>
        <c:crosses val="autoZero"/>
        <c:auto val="1"/>
        <c:lblAlgn val="ctr"/>
        <c:lblOffset val="100"/>
        <c:noMultiLvlLbl val="0"/>
      </c:catAx>
      <c:valAx>
        <c:axId val="19771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10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424694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0</xdr:colOff>
      <xdr:row>0</xdr:row>
      <xdr:rowOff>54430</xdr:rowOff>
    </xdr:from>
    <xdr:to>
      <xdr:col>11</xdr:col>
      <xdr:colOff>675527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430653</xdr:colOff>
      <xdr:row>0</xdr:row>
      <xdr:rowOff>103281</xdr:rowOff>
    </xdr:from>
    <xdr:to>
      <xdr:col>3</xdr:col>
      <xdr:colOff>1081089</xdr:colOff>
      <xdr:row>7</xdr:row>
      <xdr:rowOff>155236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1086763</xdr:colOff>
      <xdr:row>8</xdr:row>
      <xdr:rowOff>141530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  <xdr:twoCellAnchor editAs="oneCell">
    <xdr:from>
      <xdr:col>13</xdr:col>
      <xdr:colOff>843643</xdr:colOff>
      <xdr:row>1</xdr:row>
      <xdr:rowOff>50613</xdr:rowOff>
    </xdr:from>
    <xdr:to>
      <xdr:col>15</xdr:col>
      <xdr:colOff>827329</xdr:colOff>
      <xdr:row>8</xdr:row>
      <xdr:rowOff>61747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14260286" y="50613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0" zoomScaleNormal="100" zoomScaleSheetLayoutView="70" workbookViewId="0">
      <pane ySplit="10" topLeftCell="A11" activePane="bottomLeft" state="frozen"/>
      <selection activeCell="N7" sqref="N7"/>
      <selection pane="bottomLeft" activeCell="B4" sqref="B4"/>
    </sheetView>
  </sheetViews>
  <sheetFormatPr defaultColWidth="9" defaultRowHeight="14.25" x14ac:dyDescent="0.2"/>
  <cols>
    <col min="1" max="1" width="23.625" style="35" customWidth="1"/>
    <col min="2" max="2" width="44.875" style="35" customWidth="1"/>
    <col min="3" max="4" width="17.625" style="39" customWidth="1"/>
    <col min="5" max="16384" width="9" style="35"/>
  </cols>
  <sheetData>
    <row r="1" spans="1:4" ht="15" x14ac:dyDescent="0.2">
      <c r="A1" s="54"/>
      <c r="B1" s="40"/>
      <c r="C1" s="79"/>
      <c r="D1" s="55"/>
    </row>
    <row r="2" spans="1:4" ht="15" x14ac:dyDescent="0.2">
      <c r="A2" s="20" t="s">
        <v>41</v>
      </c>
      <c r="B2" s="19"/>
      <c r="C2" s="80"/>
      <c r="D2" s="10"/>
    </row>
    <row r="3" spans="1:4" ht="15" x14ac:dyDescent="0.2">
      <c r="A3" s="20"/>
      <c r="B3" s="19"/>
      <c r="C3" s="80"/>
      <c r="D3" s="10"/>
    </row>
    <row r="4" spans="1:4" ht="15" x14ac:dyDescent="0.2">
      <c r="A4" s="20" t="s">
        <v>33</v>
      </c>
      <c r="B4" s="19"/>
      <c r="C4" s="80"/>
      <c r="D4" s="10"/>
    </row>
    <row r="5" spans="1:4" ht="15" x14ac:dyDescent="0.2">
      <c r="A5" s="20"/>
      <c r="B5" s="19"/>
      <c r="C5" s="80"/>
      <c r="D5" s="10"/>
    </row>
    <row r="6" spans="1:4" ht="15" x14ac:dyDescent="0.2">
      <c r="A6" s="20" t="s">
        <v>32</v>
      </c>
      <c r="B6" s="19">
        <v>2</v>
      </c>
      <c r="C6" s="80"/>
      <c r="D6" s="10"/>
    </row>
    <row r="7" spans="1:4" ht="15" x14ac:dyDescent="0.2">
      <c r="A7" s="20"/>
      <c r="B7" s="82"/>
      <c r="C7" s="80"/>
      <c r="D7" s="10"/>
    </row>
    <row r="8" spans="1:4" ht="15" x14ac:dyDescent="0.2">
      <c r="A8" s="20" t="s">
        <v>53</v>
      </c>
      <c r="B8" s="19">
        <v>2475</v>
      </c>
      <c r="C8" s="80"/>
      <c r="D8" s="10"/>
    </row>
    <row r="9" spans="1:4" ht="15.75" thickBot="1" x14ac:dyDescent="0.3">
      <c r="A9" s="20"/>
      <c r="B9" s="56"/>
      <c r="C9" s="81"/>
      <c r="D9" s="57"/>
    </row>
    <row r="10" spans="1:4" s="36" customFormat="1" ht="30.75" thickBot="1" x14ac:dyDescent="0.25">
      <c r="A10" s="116" t="s">
        <v>15</v>
      </c>
      <c r="B10" s="117" t="s">
        <v>0</v>
      </c>
      <c r="C10" s="117" t="s">
        <v>16</v>
      </c>
      <c r="D10" s="118" t="s">
        <v>54</v>
      </c>
    </row>
    <row r="11" spans="1:4" ht="15" x14ac:dyDescent="0.2">
      <c r="A11" s="88">
        <v>1000</v>
      </c>
      <c r="B11" s="89" t="s">
        <v>17</v>
      </c>
      <c r="C11" s="90">
        <f>'MATERIAL TAKE-OFF'!P19</f>
        <v>3492.7531293200004</v>
      </c>
      <c r="D11" s="91">
        <f>C11/$B$8</f>
        <v>1.4112133855838385</v>
      </c>
    </row>
    <row r="12" spans="1:4" ht="15" x14ac:dyDescent="0.2">
      <c r="A12" s="58">
        <v>11000</v>
      </c>
      <c r="B12" s="53" t="s">
        <v>26</v>
      </c>
      <c r="C12" s="78">
        <f>'MATERIAL TAKE-OFF'!P30</f>
        <v>29524.540400000002</v>
      </c>
      <c r="D12" s="92">
        <f t="shared" ref="D12" si="0">C12/$B$8</f>
        <v>11.929107232323233</v>
      </c>
    </row>
    <row r="13" spans="1:4" s="37" customFormat="1" ht="15.75" thickBot="1" x14ac:dyDescent="0.25">
      <c r="A13" s="129" t="s">
        <v>12</v>
      </c>
      <c r="B13" s="129"/>
      <c r="C13" s="119">
        <f>SUM(C11:C12)</f>
        <v>33017.293529319999</v>
      </c>
      <c r="D13" s="119">
        <f>SUM(D11:D12)</f>
        <v>13.340320617907071</v>
      </c>
    </row>
    <row r="14" spans="1:4" ht="15.75" thickBot="1" x14ac:dyDescent="0.25">
      <c r="A14" s="130"/>
      <c r="B14" s="130"/>
      <c r="C14" s="130"/>
      <c r="D14" s="130"/>
    </row>
    <row r="15" spans="1:4" s="38" customFormat="1" ht="15" x14ac:dyDescent="0.2">
      <c r="A15" s="41" t="s">
        <v>20</v>
      </c>
      <c r="B15" s="42">
        <v>0.2</v>
      </c>
      <c r="C15" s="59">
        <f>$C$13*B15</f>
        <v>6603.458705864</v>
      </c>
      <c r="D15" s="59">
        <f>$D$13*B15</f>
        <v>2.6680641235814146</v>
      </c>
    </row>
    <row r="16" spans="1:4" s="38" customFormat="1" ht="15" x14ac:dyDescent="0.2">
      <c r="A16" s="41" t="s">
        <v>5</v>
      </c>
      <c r="B16" s="42">
        <v>0.03</v>
      </c>
      <c r="C16" s="59">
        <f>$C$13*B16</f>
        <v>990.51880587959988</v>
      </c>
      <c r="D16" s="59">
        <f>$D$13*B16</f>
        <v>0.40020961853721215</v>
      </c>
    </row>
    <row r="17" spans="1:4" s="38" customFormat="1" ht="15.75" thickBot="1" x14ac:dyDescent="0.25">
      <c r="A17" s="41" t="s">
        <v>18</v>
      </c>
      <c r="B17" s="42">
        <v>0.05</v>
      </c>
      <c r="C17" s="59">
        <f>$C$13*B17</f>
        <v>1650.864676466</v>
      </c>
      <c r="D17" s="59">
        <f>$D$13*B17</f>
        <v>0.66701603089535366</v>
      </c>
    </row>
    <row r="18" spans="1:4" s="36" customFormat="1" ht="15.75" thickBot="1" x14ac:dyDescent="0.25">
      <c r="A18" s="131" t="s">
        <v>31</v>
      </c>
      <c r="B18" s="132"/>
      <c r="C18" s="120">
        <f>SUM(C13:C17)</f>
        <v>42262.1357175296</v>
      </c>
      <c r="D18" s="120">
        <f>SUM(D13:D17)</f>
        <v>17.075610390921049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50"/>
  <sheetViews>
    <sheetView showGridLines="0" tabSelected="1" topLeftCell="A2" zoomScale="70" zoomScaleNormal="70" zoomScaleSheetLayoutView="55" workbookViewId="0">
      <pane ySplit="9" topLeftCell="A26" activePane="bottomLeft" state="frozen"/>
      <selection activeCell="N7" sqref="N7"/>
      <selection pane="bottomLeft" activeCell="A36" sqref="A36:P36"/>
    </sheetView>
  </sheetViews>
  <sheetFormatPr defaultColWidth="9" defaultRowHeight="14.25" x14ac:dyDescent="0.2"/>
  <cols>
    <col min="1" max="1" width="8.625" style="7" customWidth="1"/>
    <col min="2" max="2" width="13.1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49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0.87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3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4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27</v>
      </c>
      <c r="B3" s="19"/>
      <c r="C3" s="3"/>
      <c r="D3" s="8"/>
      <c r="E3" s="3"/>
      <c r="F3" s="8"/>
      <c r="G3" s="61"/>
      <c r="H3" s="61"/>
      <c r="K3" s="133"/>
      <c r="L3" s="133"/>
      <c r="M3" s="133"/>
      <c r="N3" s="133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0"/>
      <c r="H4" s="75"/>
      <c r="K4" s="135"/>
      <c r="L4" s="135"/>
      <c r="M4" s="134"/>
      <c r="N4" s="135"/>
      <c r="P4" s="9"/>
    </row>
    <row r="5" spans="1:17" ht="15" customHeight="1" x14ac:dyDescent="0.2">
      <c r="A5" s="18" t="s">
        <v>33</v>
      </c>
      <c r="B5" s="19"/>
      <c r="C5" s="3"/>
      <c r="D5" s="8"/>
      <c r="E5" s="3"/>
      <c r="F5" s="8"/>
      <c r="G5" s="60"/>
      <c r="H5" s="75"/>
      <c r="K5" s="135"/>
      <c r="L5" s="135"/>
      <c r="M5" s="140"/>
      <c r="N5" s="135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0"/>
      <c r="H6" s="75"/>
      <c r="K6" s="135"/>
      <c r="L6" s="135"/>
      <c r="M6" s="140"/>
      <c r="N6" s="135"/>
      <c r="P6" s="9"/>
    </row>
    <row r="7" spans="1:17" ht="15" customHeight="1" x14ac:dyDescent="0.2">
      <c r="A7" s="18" t="s">
        <v>21</v>
      </c>
      <c r="B7" s="96" t="s">
        <v>68</v>
      </c>
      <c r="C7" s="3"/>
      <c r="D7" s="8"/>
      <c r="E7" s="3"/>
      <c r="F7" s="8"/>
      <c r="G7" s="45"/>
      <c r="K7" s="135"/>
      <c r="L7" s="135"/>
      <c r="M7" s="140"/>
      <c r="N7" s="135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5"/>
      <c r="K8" s="135"/>
      <c r="L8" s="135"/>
      <c r="M8" s="134"/>
      <c r="N8" s="135"/>
      <c r="P8" s="9"/>
    </row>
    <row r="9" spans="1:17" ht="15" customHeight="1" x14ac:dyDescent="0.2">
      <c r="A9" s="18" t="s">
        <v>19</v>
      </c>
      <c r="B9" s="3"/>
      <c r="C9" s="3"/>
      <c r="D9" s="8"/>
      <c r="E9" s="3"/>
      <c r="F9" s="8"/>
      <c r="G9" s="45"/>
      <c r="P9" s="9"/>
    </row>
    <row r="10" spans="1:17" s="93" customFormat="1" ht="61.35" customHeight="1" x14ac:dyDescent="0.2">
      <c r="A10" s="97" t="s">
        <v>7</v>
      </c>
      <c r="B10" s="98" t="s">
        <v>25</v>
      </c>
      <c r="C10" s="99" t="s">
        <v>0</v>
      </c>
      <c r="D10" s="100" t="s">
        <v>1</v>
      </c>
      <c r="E10" s="99" t="s">
        <v>2</v>
      </c>
      <c r="F10" s="100" t="s">
        <v>22</v>
      </c>
      <c r="G10" s="101" t="s">
        <v>23</v>
      </c>
      <c r="H10" s="102" t="s">
        <v>36</v>
      </c>
      <c r="I10" s="98" t="s">
        <v>34</v>
      </c>
      <c r="J10" s="102" t="s">
        <v>37</v>
      </c>
      <c r="K10" s="98" t="s">
        <v>35</v>
      </c>
      <c r="L10" s="98" t="s">
        <v>28</v>
      </c>
      <c r="M10" s="98" t="s">
        <v>38</v>
      </c>
      <c r="N10" s="98" t="s">
        <v>29</v>
      </c>
      <c r="O10" s="98" t="s">
        <v>39</v>
      </c>
      <c r="P10" s="103" t="s">
        <v>11</v>
      </c>
    </row>
    <row r="11" spans="1:17" s="93" customFormat="1" ht="18" customHeight="1" x14ac:dyDescent="0.2">
      <c r="A11" s="104"/>
      <c r="B11" s="147" t="s">
        <v>56</v>
      </c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05"/>
    </row>
    <row r="12" spans="1:17" ht="18" customHeight="1" x14ac:dyDescent="0.2">
      <c r="A12" s="83">
        <v>1</v>
      </c>
      <c r="B12" s="21"/>
      <c r="C12" s="22" t="s">
        <v>8</v>
      </c>
      <c r="D12" s="21">
        <v>1</v>
      </c>
      <c r="E12" s="21" t="s">
        <v>6</v>
      </c>
      <c r="F12" s="84">
        <v>0</v>
      </c>
      <c r="G12" s="85">
        <f t="shared" ref="G12:G18" si="0">(F12*D12)+D12</f>
        <v>1</v>
      </c>
      <c r="H12" s="85">
        <f>2.5%*$Q$12/I12</f>
        <v>14.137397241907683</v>
      </c>
      <c r="I12" s="86">
        <v>52.21</v>
      </c>
      <c r="J12" s="85">
        <f t="shared" ref="J12:J18" si="1">H12*G12</f>
        <v>14.137397241907683</v>
      </c>
      <c r="K12" s="86">
        <f t="shared" ref="K12:K18" si="2">I12*J12</f>
        <v>738.11351000000013</v>
      </c>
      <c r="L12" s="86">
        <v>0</v>
      </c>
      <c r="M12" s="86">
        <f t="shared" ref="M12:M18" si="3">L12*G12</f>
        <v>0</v>
      </c>
      <c r="N12" s="86">
        <v>0</v>
      </c>
      <c r="O12" s="86">
        <f t="shared" ref="O12:O18" si="4">N12*G12</f>
        <v>0</v>
      </c>
      <c r="P12" s="86">
        <f t="shared" ref="P12:P18" si="5">IF(D12="","",(K12+M12+O12))</f>
        <v>738.11351000000013</v>
      </c>
      <c r="Q12" s="50">
        <f>SUM(P23:P30)/2</f>
        <v>29524.540400000002</v>
      </c>
    </row>
    <row r="13" spans="1:17" ht="18" customHeight="1" x14ac:dyDescent="0.2">
      <c r="A13" s="21">
        <f t="shared" ref="A13:A18" si="6">A12+1</f>
        <v>2</v>
      </c>
      <c r="B13" s="21"/>
      <c r="C13" s="106" t="s">
        <v>10</v>
      </c>
      <c r="D13" s="21">
        <v>1</v>
      </c>
      <c r="E13" s="21" t="s">
        <v>6</v>
      </c>
      <c r="F13" s="84">
        <v>0</v>
      </c>
      <c r="G13" s="85">
        <f t="shared" si="0"/>
        <v>1</v>
      </c>
      <c r="H13" s="85">
        <f>1.65%*$Q$12/I13</f>
        <v>9.3306821796590693</v>
      </c>
      <c r="I13" s="86">
        <v>52.21</v>
      </c>
      <c r="J13" s="85">
        <f t="shared" si="1"/>
        <v>9.3306821796590693</v>
      </c>
      <c r="K13" s="86">
        <f t="shared" si="2"/>
        <v>487.15491660000004</v>
      </c>
      <c r="L13" s="86">
        <v>0</v>
      </c>
      <c r="M13" s="86">
        <f t="shared" si="3"/>
        <v>0</v>
      </c>
      <c r="N13" s="86">
        <v>0</v>
      </c>
      <c r="O13" s="86">
        <f t="shared" si="4"/>
        <v>0</v>
      </c>
      <c r="P13" s="86">
        <f t="shared" si="5"/>
        <v>487.15491660000004</v>
      </c>
    </row>
    <row r="14" spans="1:17" ht="18" customHeight="1" x14ac:dyDescent="0.2">
      <c r="A14" s="2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84">
        <v>0</v>
      </c>
      <c r="G14" s="85">
        <f t="shared" si="0"/>
        <v>1</v>
      </c>
      <c r="H14" s="85">
        <f>0.85%*$Q$12/I14</f>
        <v>4.8067150622486121</v>
      </c>
      <c r="I14" s="86">
        <v>52.21</v>
      </c>
      <c r="J14" s="85">
        <f t="shared" si="1"/>
        <v>4.8067150622486121</v>
      </c>
      <c r="K14" s="86">
        <f t="shared" si="2"/>
        <v>250.95859340000004</v>
      </c>
      <c r="L14" s="86">
        <v>0</v>
      </c>
      <c r="M14" s="86">
        <f t="shared" si="3"/>
        <v>0</v>
      </c>
      <c r="N14" s="86">
        <v>0</v>
      </c>
      <c r="O14" s="86">
        <f t="shared" si="4"/>
        <v>0</v>
      </c>
      <c r="P14" s="86">
        <f t="shared" si="5"/>
        <v>250.95859340000004</v>
      </c>
    </row>
    <row r="15" spans="1:17" ht="18" customHeight="1" x14ac:dyDescent="0.2">
      <c r="A15" s="2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84">
        <v>0</v>
      </c>
      <c r="G15" s="85">
        <f t="shared" si="0"/>
        <v>1</v>
      </c>
      <c r="H15" s="85">
        <f>2.35%*$Q$12/I15</f>
        <v>13.28915340739322</v>
      </c>
      <c r="I15" s="86">
        <v>52.21</v>
      </c>
      <c r="J15" s="85">
        <f t="shared" si="1"/>
        <v>13.28915340739322</v>
      </c>
      <c r="K15" s="86">
        <f t="shared" si="2"/>
        <v>693.82669940000005</v>
      </c>
      <c r="L15" s="86">
        <v>0</v>
      </c>
      <c r="M15" s="86">
        <f t="shared" si="3"/>
        <v>0</v>
      </c>
      <c r="N15" s="86">
        <v>0</v>
      </c>
      <c r="O15" s="86">
        <f t="shared" si="4"/>
        <v>0</v>
      </c>
      <c r="P15" s="86">
        <f t="shared" si="5"/>
        <v>693.82669940000005</v>
      </c>
    </row>
    <row r="16" spans="1:17" ht="18" customHeight="1" x14ac:dyDescent="0.2">
      <c r="A16" s="21">
        <f t="shared" si="6"/>
        <v>5</v>
      </c>
      <c r="B16" s="21"/>
      <c r="C16" s="22" t="s">
        <v>30</v>
      </c>
      <c r="D16" s="21">
        <v>1</v>
      </c>
      <c r="E16" s="21" t="s">
        <v>6</v>
      </c>
      <c r="F16" s="84">
        <v>0</v>
      </c>
      <c r="G16" s="85">
        <f t="shared" si="0"/>
        <v>1</v>
      </c>
      <c r="H16" s="85">
        <f>2%*$Q$12/I16</f>
        <v>11.309917793526145</v>
      </c>
      <c r="I16" s="86">
        <v>52.21</v>
      </c>
      <c r="J16" s="85">
        <f t="shared" si="1"/>
        <v>11.309917793526145</v>
      </c>
      <c r="K16" s="86">
        <f t="shared" si="2"/>
        <v>590.49080800000002</v>
      </c>
      <c r="L16" s="86">
        <v>0</v>
      </c>
      <c r="M16" s="86">
        <f t="shared" si="3"/>
        <v>0</v>
      </c>
      <c r="N16" s="86">
        <v>0</v>
      </c>
      <c r="O16" s="86">
        <f t="shared" si="4"/>
        <v>0</v>
      </c>
      <c r="P16" s="86">
        <f t="shared" si="5"/>
        <v>590.49080800000002</v>
      </c>
    </row>
    <row r="17" spans="1:16" ht="18" customHeight="1" x14ac:dyDescent="0.2">
      <c r="A17" s="21">
        <f t="shared" si="6"/>
        <v>6</v>
      </c>
      <c r="B17" s="21"/>
      <c r="C17" s="22" t="s">
        <v>4</v>
      </c>
      <c r="D17" s="21">
        <v>1</v>
      </c>
      <c r="E17" s="21" t="s">
        <v>6</v>
      </c>
      <c r="F17" s="84">
        <v>0</v>
      </c>
      <c r="G17" s="85">
        <f t="shared" si="0"/>
        <v>1</v>
      </c>
      <c r="H17" s="85">
        <f>0.98%*$Q$12/I17</f>
        <v>5.5418597188278111</v>
      </c>
      <c r="I17" s="86">
        <v>52.21</v>
      </c>
      <c r="J17" s="85">
        <f t="shared" si="1"/>
        <v>5.5418597188278111</v>
      </c>
      <c r="K17" s="86">
        <f t="shared" si="2"/>
        <v>289.34049592000002</v>
      </c>
      <c r="L17" s="86">
        <v>0</v>
      </c>
      <c r="M17" s="86">
        <f t="shared" si="3"/>
        <v>0</v>
      </c>
      <c r="N17" s="86">
        <v>0</v>
      </c>
      <c r="O17" s="86">
        <f t="shared" si="4"/>
        <v>0</v>
      </c>
      <c r="P17" s="86">
        <f t="shared" si="5"/>
        <v>289.34049592000002</v>
      </c>
    </row>
    <row r="18" spans="1:16" ht="18" customHeight="1" x14ac:dyDescent="0.2">
      <c r="A18" s="21">
        <f t="shared" si="6"/>
        <v>7</v>
      </c>
      <c r="B18" s="21"/>
      <c r="C18" s="22" t="s">
        <v>14</v>
      </c>
      <c r="D18" s="87">
        <v>1</v>
      </c>
      <c r="E18" s="21" t="s">
        <v>6</v>
      </c>
      <c r="F18" s="84">
        <v>0</v>
      </c>
      <c r="G18" s="85">
        <f t="shared" si="0"/>
        <v>1</v>
      </c>
      <c r="H18" s="85">
        <f>1.5%*$Q$12/I18</f>
        <v>8.4824383451446081</v>
      </c>
      <c r="I18" s="86">
        <v>52.21</v>
      </c>
      <c r="J18" s="85">
        <f t="shared" si="1"/>
        <v>8.4824383451446081</v>
      </c>
      <c r="K18" s="86">
        <f t="shared" si="2"/>
        <v>442.86810600000001</v>
      </c>
      <c r="L18" s="86">
        <v>0</v>
      </c>
      <c r="M18" s="86">
        <f t="shared" si="3"/>
        <v>0</v>
      </c>
      <c r="N18" s="86">
        <v>0</v>
      </c>
      <c r="O18" s="86">
        <f t="shared" si="4"/>
        <v>0</v>
      </c>
      <c r="P18" s="86">
        <f t="shared" si="5"/>
        <v>442.86810600000001</v>
      </c>
    </row>
    <row r="19" spans="1:16" s="93" customFormat="1" ht="18" customHeight="1" x14ac:dyDescent="0.2">
      <c r="A19" s="107" t="str">
        <f t="shared" ref="A19" si="7">IF(E19=0,"",1+MAX(A13:A18))</f>
        <v/>
      </c>
      <c r="B19" s="108"/>
      <c r="C19" s="109"/>
      <c r="D19" s="110"/>
      <c r="E19" s="110"/>
      <c r="F19" s="110"/>
      <c r="G19" s="111"/>
      <c r="H19" s="110"/>
      <c r="I19" s="110"/>
      <c r="J19" s="110"/>
      <c r="K19" s="110"/>
      <c r="L19" s="110"/>
      <c r="M19" s="110"/>
      <c r="N19" s="110"/>
      <c r="O19" s="110" t="s">
        <v>24</v>
      </c>
      <c r="P19" s="112">
        <f>SUM(P11:P18)</f>
        <v>3492.7531293200004</v>
      </c>
    </row>
    <row r="20" spans="1:16" ht="18" customHeight="1" x14ac:dyDescent="0.2">
      <c r="A20" s="67" t="str">
        <f>IF(E20=0,"",1+MAX(#REF!))</f>
        <v/>
      </c>
      <c r="B20" s="68"/>
      <c r="C20" s="23"/>
      <c r="D20" s="24"/>
      <c r="E20" s="23"/>
      <c r="F20" s="24"/>
      <c r="G20" s="46"/>
      <c r="H20" s="76"/>
      <c r="I20" s="25"/>
      <c r="J20" s="76"/>
      <c r="K20" s="25"/>
      <c r="L20" s="25"/>
      <c r="M20" s="25"/>
      <c r="N20" s="25"/>
      <c r="O20" s="25"/>
      <c r="P20" s="26"/>
    </row>
    <row r="21" spans="1:16" s="93" customFormat="1" ht="18" customHeight="1" x14ac:dyDescent="0.2">
      <c r="A21" s="113" t="str">
        <f>IF(E21=0,"",1+MAX(A20:A20))</f>
        <v/>
      </c>
      <c r="B21" s="147" t="s">
        <v>57</v>
      </c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05"/>
    </row>
    <row r="22" spans="1:16" s="3" customFormat="1" ht="15" x14ac:dyDescent="0.2">
      <c r="A22" s="83" t="str">
        <f>IF(E22=0,"",1+MAX(A20:A21))</f>
        <v/>
      </c>
      <c r="B22" s="28"/>
      <c r="C22" s="77" t="s">
        <v>59</v>
      </c>
      <c r="D22" s="27"/>
      <c r="E22" s="27"/>
      <c r="F22" s="84"/>
      <c r="G22" s="85"/>
      <c r="H22" s="85"/>
      <c r="I22" s="86"/>
      <c r="J22" s="85"/>
      <c r="K22" s="86"/>
      <c r="L22" s="86"/>
      <c r="M22" s="86"/>
      <c r="N22" s="86"/>
      <c r="O22" s="86"/>
      <c r="P22" s="86"/>
    </row>
    <row r="23" spans="1:16" s="3" customFormat="1" ht="57" x14ac:dyDescent="0.2">
      <c r="A23" s="83">
        <f>IF(D23=0,"",1+MAX(A$12:A22))</f>
        <v>8</v>
      </c>
      <c r="B23" s="136" t="s">
        <v>60</v>
      </c>
      <c r="C23" s="52" t="s">
        <v>61</v>
      </c>
      <c r="D23" s="27">
        <v>1</v>
      </c>
      <c r="E23" s="27" t="s">
        <v>55</v>
      </c>
      <c r="F23" s="84">
        <v>0</v>
      </c>
      <c r="G23" s="85">
        <f t="shared" ref="G23:G29" si="8">(F23*D23)+D23</f>
        <v>1</v>
      </c>
      <c r="H23" s="85">
        <v>7.5119999999999996</v>
      </c>
      <c r="I23" s="86">
        <v>36.39</v>
      </c>
      <c r="J23" s="85">
        <f t="shared" ref="J23:J29" si="9">H23*G23</f>
        <v>7.5119999999999996</v>
      </c>
      <c r="K23" s="86">
        <f t="shared" ref="K23:K29" si="10">I23*J23</f>
        <v>273.36167999999998</v>
      </c>
      <c r="L23" s="86">
        <v>2478.16</v>
      </c>
      <c r="M23" s="86">
        <f t="shared" ref="M23:M29" si="11">L23*G23</f>
        <v>2478.16</v>
      </c>
      <c r="N23" s="86">
        <v>0</v>
      </c>
      <c r="O23" s="86">
        <f t="shared" ref="O23:O29" si="12">N23*G23</f>
        <v>0</v>
      </c>
      <c r="P23" s="86">
        <f t="shared" ref="P23:P29" si="13">IF(D23="","",(K23+M23+O23))</f>
        <v>2751.5216799999998</v>
      </c>
    </row>
    <row r="24" spans="1:16" s="3" customFormat="1" ht="42.75" x14ac:dyDescent="0.2">
      <c r="A24" s="95">
        <f>IF(D24=0,"",1+MAX(A$12:A23))</f>
        <v>9</v>
      </c>
      <c r="B24" s="137"/>
      <c r="C24" s="52" t="s">
        <v>62</v>
      </c>
      <c r="D24" s="27">
        <v>3</v>
      </c>
      <c r="E24" s="27" t="s">
        <v>55</v>
      </c>
      <c r="F24" s="84">
        <v>0</v>
      </c>
      <c r="G24" s="85">
        <f t="shared" si="8"/>
        <v>3</v>
      </c>
      <c r="H24" s="85">
        <v>8.125</v>
      </c>
      <c r="I24" s="86">
        <v>36.39</v>
      </c>
      <c r="J24" s="85">
        <f t="shared" si="9"/>
        <v>24.375</v>
      </c>
      <c r="K24" s="86">
        <f t="shared" si="10"/>
        <v>887.00625000000002</v>
      </c>
      <c r="L24" s="86">
        <v>3849</v>
      </c>
      <c r="M24" s="86">
        <f t="shared" si="11"/>
        <v>11547</v>
      </c>
      <c r="N24" s="86">
        <v>0</v>
      </c>
      <c r="O24" s="86">
        <f t="shared" si="12"/>
        <v>0</v>
      </c>
      <c r="P24" s="86">
        <f t="shared" si="13"/>
        <v>12434.00625</v>
      </c>
    </row>
    <row r="25" spans="1:16" s="3" customFormat="1" ht="57" x14ac:dyDescent="0.2">
      <c r="A25" s="95">
        <f>IF(D25=0,"",1+MAX(A$12:A24))</f>
        <v>10</v>
      </c>
      <c r="B25" s="137"/>
      <c r="C25" s="52" t="s">
        <v>63</v>
      </c>
      <c r="D25" s="27">
        <v>2</v>
      </c>
      <c r="E25" s="27" t="s">
        <v>55</v>
      </c>
      <c r="F25" s="84">
        <v>0</v>
      </c>
      <c r="G25" s="85">
        <f t="shared" si="8"/>
        <v>2</v>
      </c>
      <c r="H25" s="85">
        <v>3.9470000000000001</v>
      </c>
      <c r="I25" s="86">
        <v>36.39</v>
      </c>
      <c r="J25" s="85">
        <f t="shared" si="9"/>
        <v>7.8940000000000001</v>
      </c>
      <c r="K25" s="86">
        <f t="shared" si="10"/>
        <v>287.26265999999998</v>
      </c>
      <c r="L25" s="86">
        <v>429.86</v>
      </c>
      <c r="M25" s="86">
        <f t="shared" si="11"/>
        <v>859.72</v>
      </c>
      <c r="N25" s="86">
        <v>0</v>
      </c>
      <c r="O25" s="86">
        <f t="shared" si="12"/>
        <v>0</v>
      </c>
      <c r="P25" s="86">
        <f t="shared" si="13"/>
        <v>1146.9826600000001</v>
      </c>
    </row>
    <row r="26" spans="1:16" s="3" customFormat="1" ht="42.75" x14ac:dyDescent="0.2">
      <c r="A26" s="95">
        <f>IF(D26=0,"",1+MAX(A$12:A25))</f>
        <v>11</v>
      </c>
      <c r="B26" s="137"/>
      <c r="C26" s="52" t="s">
        <v>64</v>
      </c>
      <c r="D26" s="27">
        <v>1</v>
      </c>
      <c r="E26" s="27" t="s">
        <v>55</v>
      </c>
      <c r="F26" s="84">
        <v>0</v>
      </c>
      <c r="G26" s="85">
        <f t="shared" si="8"/>
        <v>1</v>
      </c>
      <c r="H26" s="85">
        <v>7.7240000000000002</v>
      </c>
      <c r="I26" s="86">
        <v>36.39</v>
      </c>
      <c r="J26" s="85">
        <f t="shared" si="9"/>
        <v>7.7240000000000002</v>
      </c>
      <c r="K26" s="86">
        <f t="shared" si="10"/>
        <v>281.07636000000002</v>
      </c>
      <c r="L26" s="86">
        <v>2784.12</v>
      </c>
      <c r="M26" s="86">
        <f t="shared" si="11"/>
        <v>2784.12</v>
      </c>
      <c r="N26" s="86">
        <v>0</v>
      </c>
      <c r="O26" s="86">
        <f t="shared" si="12"/>
        <v>0</v>
      </c>
      <c r="P26" s="86">
        <f t="shared" si="13"/>
        <v>3065.1963599999999</v>
      </c>
    </row>
    <row r="27" spans="1:16" s="3" customFormat="1" ht="42.75" x14ac:dyDescent="0.2">
      <c r="A27" s="95">
        <f>IF(D27=0,"",1+MAX(A$12:A26))</f>
        <v>12</v>
      </c>
      <c r="B27" s="137"/>
      <c r="C27" s="52" t="s">
        <v>65</v>
      </c>
      <c r="D27" s="27">
        <v>1</v>
      </c>
      <c r="E27" s="27" t="s">
        <v>55</v>
      </c>
      <c r="F27" s="84">
        <v>0</v>
      </c>
      <c r="G27" s="85">
        <f t="shared" si="8"/>
        <v>1</v>
      </c>
      <c r="H27" s="85">
        <v>6.2290000000000001</v>
      </c>
      <c r="I27" s="86">
        <v>36.39</v>
      </c>
      <c r="J27" s="85">
        <f t="shared" si="9"/>
        <v>6.2290000000000001</v>
      </c>
      <c r="K27" s="86">
        <f t="shared" si="10"/>
        <v>226.67331000000001</v>
      </c>
      <c r="L27" s="86">
        <v>1498.72</v>
      </c>
      <c r="M27" s="86">
        <f t="shared" si="11"/>
        <v>1498.72</v>
      </c>
      <c r="N27" s="86">
        <v>0</v>
      </c>
      <c r="O27" s="86">
        <f t="shared" si="12"/>
        <v>0</v>
      </c>
      <c r="P27" s="86">
        <f t="shared" si="13"/>
        <v>1725.3933099999999</v>
      </c>
    </row>
    <row r="28" spans="1:16" s="3" customFormat="1" ht="42.75" x14ac:dyDescent="0.2">
      <c r="A28" s="95">
        <f>IF(D28=0,"",1+MAX(A$12:A27))</f>
        <v>13</v>
      </c>
      <c r="B28" s="137"/>
      <c r="C28" s="52" t="s">
        <v>66</v>
      </c>
      <c r="D28" s="27">
        <v>5</v>
      </c>
      <c r="E28" s="27" t="s">
        <v>55</v>
      </c>
      <c r="F28" s="84">
        <v>0</v>
      </c>
      <c r="G28" s="85">
        <f t="shared" si="8"/>
        <v>5</v>
      </c>
      <c r="H28" s="85">
        <v>5.6139999999999999</v>
      </c>
      <c r="I28" s="86">
        <v>36.39</v>
      </c>
      <c r="J28" s="85">
        <f t="shared" si="9"/>
        <v>28.07</v>
      </c>
      <c r="K28" s="86">
        <f t="shared" si="10"/>
        <v>1021.4673</v>
      </c>
      <c r="L28" s="86">
        <v>1194.68</v>
      </c>
      <c r="M28" s="86">
        <f t="shared" si="11"/>
        <v>5973.4000000000005</v>
      </c>
      <c r="N28" s="86">
        <v>0</v>
      </c>
      <c r="O28" s="86">
        <f t="shared" si="12"/>
        <v>0</v>
      </c>
      <c r="P28" s="86">
        <f t="shared" si="13"/>
        <v>6994.8673000000008</v>
      </c>
    </row>
    <row r="29" spans="1:16" s="3" customFormat="1" ht="42.75" x14ac:dyDescent="0.2">
      <c r="A29" s="95">
        <f>IF(D29=0,"",1+MAX(A$12:A28))</f>
        <v>14</v>
      </c>
      <c r="B29" s="138"/>
      <c r="C29" s="52" t="s">
        <v>67</v>
      </c>
      <c r="D29" s="27">
        <v>2</v>
      </c>
      <c r="E29" s="27" t="s">
        <v>55</v>
      </c>
      <c r="F29" s="84">
        <v>0</v>
      </c>
      <c r="G29" s="85">
        <f t="shared" si="8"/>
        <v>2</v>
      </c>
      <c r="H29" s="85">
        <v>4.2779999999999996</v>
      </c>
      <c r="I29" s="86">
        <v>36.39</v>
      </c>
      <c r="J29" s="85">
        <f t="shared" si="9"/>
        <v>8.5559999999999992</v>
      </c>
      <c r="K29" s="86">
        <f t="shared" si="10"/>
        <v>311.35283999999996</v>
      </c>
      <c r="L29" s="86">
        <v>547.61</v>
      </c>
      <c r="M29" s="86">
        <f t="shared" si="11"/>
        <v>1095.22</v>
      </c>
      <c r="N29" s="86">
        <v>0</v>
      </c>
      <c r="O29" s="86">
        <f t="shared" si="12"/>
        <v>0</v>
      </c>
      <c r="P29" s="86">
        <f t="shared" si="13"/>
        <v>1406.57284</v>
      </c>
    </row>
    <row r="30" spans="1:16" s="93" customFormat="1" ht="18" customHeight="1" x14ac:dyDescent="0.2">
      <c r="A30" s="121" t="str">
        <f>IF(E30=0,"",1+MAX(A22:A29))</f>
        <v/>
      </c>
      <c r="B30" s="122"/>
      <c r="C30" s="123"/>
      <c r="D30" s="124"/>
      <c r="E30" s="124"/>
      <c r="F30" s="124"/>
      <c r="G30" s="125"/>
      <c r="H30" s="124"/>
      <c r="I30" s="124"/>
      <c r="J30" s="124"/>
      <c r="K30" s="124"/>
      <c r="L30" s="124"/>
      <c r="M30" s="124"/>
      <c r="N30" s="124"/>
      <c r="O30" s="124" t="s">
        <v>24</v>
      </c>
      <c r="P30" s="126">
        <f>SUM(P22:P29)</f>
        <v>29524.540400000002</v>
      </c>
    </row>
    <row r="31" spans="1:16" ht="18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68"/>
      <c r="O31" s="68"/>
      <c r="P31" s="26"/>
    </row>
    <row r="32" spans="1:16" s="94" customFormat="1" ht="20.100000000000001" customHeight="1" x14ac:dyDescent="0.2">
      <c r="A32" s="145" t="s">
        <v>12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14"/>
      <c r="P32" s="115">
        <f>SUM(P11:P31)/2</f>
        <v>33017.293529319999</v>
      </c>
    </row>
    <row r="33" spans="1:16" s="94" customFormat="1" ht="20.100000000000001" customHeight="1" x14ac:dyDescent="0.2">
      <c r="A33" s="145" t="s">
        <v>20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14">
        <v>0.2</v>
      </c>
      <c r="P33" s="115">
        <f>$P$32*O33</f>
        <v>6603.458705864</v>
      </c>
    </row>
    <row r="34" spans="1:16" s="94" customFormat="1" ht="20.100000000000001" customHeight="1" x14ac:dyDescent="0.2">
      <c r="A34" s="145" t="s">
        <v>5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14">
        <v>0.03</v>
      </c>
      <c r="P34" s="115">
        <f>$P$32*O34</f>
        <v>990.51880587959988</v>
      </c>
    </row>
    <row r="35" spans="1:16" s="94" customFormat="1" ht="20.100000000000001" customHeight="1" x14ac:dyDescent="0.2">
      <c r="A35" s="145" t="s">
        <v>18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14">
        <v>0.05</v>
      </c>
      <c r="P35" s="115">
        <f>$P$32*O35</f>
        <v>1650.864676466</v>
      </c>
    </row>
    <row r="36" spans="1:16" s="93" customFormat="1" ht="20.100000000000001" customHeight="1" x14ac:dyDescent="0.2">
      <c r="A36" s="143" t="s">
        <v>13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27"/>
      <c r="O36" s="127"/>
      <c r="P36" s="128">
        <f>SUM(P32:P35)</f>
        <v>42262.1357175296</v>
      </c>
    </row>
    <row r="37" spans="1:16" ht="20.100000000000001" customHeight="1" x14ac:dyDescent="0.2">
      <c r="A37" s="66" t="s">
        <v>40</v>
      </c>
      <c r="B37" s="11"/>
      <c r="C37" s="29"/>
      <c r="D37" s="30"/>
      <c r="E37" s="29"/>
      <c r="F37" s="30"/>
      <c r="G37" s="47"/>
      <c r="H37" s="29"/>
      <c r="I37" s="29"/>
      <c r="J37" s="29"/>
      <c r="K37" s="29"/>
      <c r="L37" s="29"/>
      <c r="M37" s="29"/>
      <c r="N37" s="29"/>
      <c r="O37" s="29"/>
      <c r="P37" s="31"/>
    </row>
    <row r="38" spans="1:16" ht="30" customHeight="1" x14ac:dyDescent="0.2">
      <c r="A38" s="62"/>
      <c r="B38" s="139" t="s">
        <v>58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51"/>
    </row>
    <row r="39" spans="1:16" ht="20.100000000000001" customHeight="1" x14ac:dyDescent="0.2">
      <c r="A39" s="62"/>
      <c r="B39" s="63"/>
      <c r="C39" s="64"/>
      <c r="D39" s="65"/>
      <c r="E39" s="29"/>
      <c r="F39" s="30"/>
      <c r="G39" s="47"/>
      <c r="H39" s="29"/>
      <c r="I39" s="29"/>
      <c r="J39" s="29"/>
      <c r="K39" s="29"/>
      <c r="L39" s="29"/>
      <c r="M39" s="29"/>
      <c r="N39" s="29"/>
      <c r="O39" s="29"/>
      <c r="P39" s="31"/>
    </row>
    <row r="40" spans="1:16" ht="20.100000000000001" customHeight="1" x14ac:dyDescent="0.2">
      <c r="A40" s="62"/>
      <c r="C40" s="69" t="s">
        <v>42</v>
      </c>
      <c r="D40" s="7"/>
      <c r="F40" s="29"/>
      <c r="G40" s="29"/>
      <c r="H40" s="29"/>
      <c r="M40" s="69" t="s">
        <v>43</v>
      </c>
      <c r="N40" s="30"/>
      <c r="O40" s="29"/>
      <c r="P40" s="31"/>
    </row>
    <row r="41" spans="1:16" ht="19.7" customHeight="1" x14ac:dyDescent="0.2">
      <c r="A41" s="70"/>
      <c r="B41" s="7">
        <v>1</v>
      </c>
      <c r="C41" s="71" t="s">
        <v>44</v>
      </c>
      <c r="D41" s="7"/>
      <c r="F41" s="29"/>
      <c r="G41" s="29"/>
      <c r="H41" s="29"/>
      <c r="M41" s="72" t="s">
        <v>52</v>
      </c>
      <c r="N41" s="30"/>
      <c r="O41" s="29"/>
      <c r="P41" s="51"/>
    </row>
    <row r="42" spans="1:16" ht="20.100000000000001" customHeight="1" x14ac:dyDescent="0.2">
      <c r="A42" s="62"/>
      <c r="C42" s="72"/>
      <c r="D42" s="72"/>
      <c r="F42" s="29"/>
      <c r="G42" s="29"/>
      <c r="H42" s="29"/>
      <c r="M42" s="72" t="s">
        <v>45</v>
      </c>
      <c r="N42" s="30"/>
      <c r="O42" s="29"/>
      <c r="P42" s="51"/>
    </row>
    <row r="43" spans="1:16" ht="20.100000000000001" customHeight="1" x14ac:dyDescent="0.2">
      <c r="A43" s="62"/>
      <c r="D43" s="65"/>
      <c r="F43" s="29"/>
      <c r="G43" s="29"/>
      <c r="H43" s="29"/>
      <c r="M43" s="72" t="s">
        <v>46</v>
      </c>
      <c r="N43" s="73"/>
      <c r="O43" s="29"/>
      <c r="P43" s="31"/>
    </row>
    <row r="44" spans="1:16" ht="20.100000000000001" customHeight="1" x14ac:dyDescent="0.2">
      <c r="A44" s="62"/>
      <c r="C44" s="74"/>
      <c r="D44" s="65"/>
      <c r="F44" s="29"/>
      <c r="G44" s="29"/>
      <c r="H44" s="29"/>
      <c r="M44" s="72" t="s">
        <v>47</v>
      </c>
      <c r="N44" s="14"/>
      <c r="O44" s="29"/>
      <c r="P44" s="31"/>
    </row>
    <row r="45" spans="1:16" ht="20.100000000000001" customHeight="1" x14ac:dyDescent="0.2">
      <c r="A45" s="62"/>
      <c r="D45" s="65"/>
      <c r="F45" s="29"/>
      <c r="G45" s="29"/>
      <c r="H45" s="29"/>
      <c r="M45" s="72" t="s">
        <v>48</v>
      </c>
      <c r="N45" s="14"/>
      <c r="O45" s="29"/>
      <c r="P45" s="51"/>
    </row>
    <row r="46" spans="1:16" ht="20.100000000000001" customHeight="1" x14ac:dyDescent="0.2">
      <c r="A46" s="62"/>
      <c r="C46" s="64"/>
      <c r="D46" s="65"/>
      <c r="J46" s="29"/>
      <c r="K46" s="29"/>
      <c r="L46" s="29"/>
      <c r="M46" s="72" t="s">
        <v>49</v>
      </c>
      <c r="N46" s="14"/>
      <c r="O46" s="29"/>
      <c r="P46" s="51"/>
    </row>
    <row r="47" spans="1:16" ht="20.100000000000001" customHeight="1" x14ac:dyDescent="0.2">
      <c r="A47" s="62"/>
      <c r="C47" s="64"/>
      <c r="D47" s="65"/>
      <c r="J47" s="29"/>
      <c r="K47" s="29"/>
      <c r="L47" s="29"/>
      <c r="M47" s="72" t="s">
        <v>50</v>
      </c>
      <c r="N47" s="14"/>
      <c r="O47" s="29"/>
      <c r="P47" s="31"/>
    </row>
    <row r="48" spans="1:16" ht="20.100000000000001" customHeight="1" x14ac:dyDescent="0.2">
      <c r="A48" s="62"/>
      <c r="C48" s="64"/>
      <c r="D48" s="65"/>
      <c r="J48" s="29"/>
      <c r="K48" s="29"/>
      <c r="L48" s="29"/>
      <c r="M48" s="72" t="s">
        <v>51</v>
      </c>
      <c r="N48" s="14"/>
      <c r="O48" s="29"/>
      <c r="P48" s="31"/>
    </row>
    <row r="49" spans="1:16" ht="15.75" customHeight="1" x14ac:dyDescent="0.2">
      <c r="A49" s="62"/>
      <c r="B49" s="63"/>
      <c r="C49" s="64"/>
      <c r="D49" s="65"/>
      <c r="E49" s="29"/>
      <c r="F49" s="30"/>
      <c r="G49" s="47"/>
      <c r="H49" s="29"/>
      <c r="I49" s="29"/>
      <c r="J49" s="29"/>
      <c r="K49" s="29"/>
      <c r="L49" s="29"/>
      <c r="M49" s="29"/>
      <c r="N49" s="29"/>
      <c r="O49" s="29"/>
      <c r="P49" s="51"/>
    </row>
    <row r="50" spans="1:16" ht="15.75" customHeight="1" thickBot="1" x14ac:dyDescent="0.25">
      <c r="A50" s="12"/>
      <c r="B50" s="13"/>
      <c r="C50" s="32"/>
      <c r="D50" s="33"/>
      <c r="E50" s="32"/>
      <c r="F50" s="33"/>
      <c r="G50" s="48"/>
      <c r="H50" s="32"/>
      <c r="I50" s="32"/>
      <c r="J50" s="32"/>
      <c r="K50" s="32"/>
      <c r="L50" s="32"/>
      <c r="M50" s="32"/>
      <c r="N50" s="32"/>
      <c r="O50" s="32"/>
      <c r="P50" s="34"/>
    </row>
  </sheetData>
  <mergeCells count="22">
    <mergeCell ref="B23:B29"/>
    <mergeCell ref="B38:O38"/>
    <mergeCell ref="K8:L8"/>
    <mergeCell ref="M5:N5"/>
    <mergeCell ref="M6:N6"/>
    <mergeCell ref="M8:N8"/>
    <mergeCell ref="M7:N7"/>
    <mergeCell ref="A31:M31"/>
    <mergeCell ref="A36:M36"/>
    <mergeCell ref="A32:N32"/>
    <mergeCell ref="A33:N33"/>
    <mergeCell ref="A34:N34"/>
    <mergeCell ref="A35:N35"/>
    <mergeCell ref="B11:O11"/>
    <mergeCell ref="B21:O21"/>
    <mergeCell ref="K3:L3"/>
    <mergeCell ref="M3:N3"/>
    <mergeCell ref="M4:N4"/>
    <mergeCell ref="K4:L4"/>
    <mergeCell ref="K7:L7"/>
    <mergeCell ref="K6:L6"/>
    <mergeCell ref="K5:L5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